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tables/table1.xml" ContentType="application/vnd.openxmlformats-officedocument.spreadsheetml.table+xml"/>
  <Override PartName="/xl/drawings/drawing7.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8.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hidePivotFieldList="1" defaultThemeVersion="166925"/>
  <mc:AlternateContent xmlns:mc="http://schemas.openxmlformats.org/markup-compatibility/2006">
    <mc:Choice Requires="x15">
      <x15ac:absPath xmlns:x15ac="http://schemas.microsoft.com/office/spreadsheetml/2010/11/ac" url="S:\NATCAN_Projects\Kidney\12_Quarterly Reports\3_October 2024\"/>
    </mc:Choice>
  </mc:AlternateContent>
  <xr:revisionPtr revIDLastSave="0" documentId="8_{6904D872-6E34-4F3C-8857-328501593842}" xr6:coauthVersionLast="47" xr6:coauthVersionMax="47" xr10:uidLastSave="{00000000-0000-0000-0000-000000000000}"/>
  <bookViews>
    <workbookView xWindow="28680" yWindow="-120" windowWidth="29040" windowHeight="15840" tabRatio="884" xr2:uid="{00000000-000D-0000-FFFF-FFFF00000000}"/>
  </bookViews>
  <sheets>
    <sheet name="Cover sheet" sheetId="57" r:id="rId1"/>
    <sheet name="Introduction" sheetId="51" r:id="rId2"/>
    <sheet name="Explanations" sheetId="52" r:id="rId3"/>
    <sheet name="Acknowledgements" sheetId="59" r:id="rId4"/>
    <sheet name="Dashboard" sheetId="42" r:id="rId5"/>
    <sheet name="Cancer Alliance Results" sheetId="54" r:id="rId6"/>
    <sheet name="Patient Characteristics" sheetId="58" r:id="rId7"/>
    <sheet name="Links" sheetId="21" state="hidden" r:id="rId8"/>
    <sheet name="data_staging_longitudinal" sheetId="40" state="hidden" r:id="rId9"/>
    <sheet name="Lists" sheetId="25" state="hidden" r:id="rId10"/>
    <sheet name="cns_p" sheetId="62" state="hidden" r:id="rId11"/>
    <sheet name="ethnicity_p" sheetId="49" state="hidden" r:id="rId12"/>
    <sheet name="size_p" sheetId="61" state="hidden" r:id="rId13"/>
    <sheet name="mdt_p" sheetId="60" state="hidden" r:id="rId14"/>
    <sheet name="Version_control" sheetId="37" state="hidden" r:id="rId15"/>
    <sheet name="Adaptation notes" sheetId="43" state="hidden" r:id="rId16"/>
    <sheet name="trust_list" sheetId="36" state="hidden" r:id="rId17"/>
    <sheet name="trusts_per_ca" sheetId="17" state="hidden" r:id="rId18"/>
    <sheet name="morph_p" sheetId="45" state="hidden" r:id="rId19"/>
    <sheet name="ps_p" sheetId="50" state="hidden" r:id="rId20"/>
    <sheet name="tnm_p" sheetId="46" state="hidden" r:id="rId21"/>
    <sheet name="full_tnm_p" sheetId="56" state="hidden" r:id="rId22"/>
    <sheet name="31days_p" sheetId="55" state="hidden" r:id="rId23"/>
    <sheet name="chk trust lists" sheetId="39" state="hidden" r:id="rId24"/>
    <sheet name="trust_data_quality" sheetId="24" state="hidden" r:id="rId25"/>
    <sheet name="aliance_data_quality" sheetId="23" state="hidden" r:id="rId26"/>
    <sheet name="national_data_quality" sheetId="22" state="hidden" r:id="rId27"/>
    <sheet name="trust_patient_char" sheetId="34" state="hidden" r:id="rId28"/>
    <sheet name="aliance_patient_chars" sheetId="30" state="hidden" r:id="rId29"/>
    <sheet name="national_patient_chars" sheetId="32" state="hidden" r:id="rId30"/>
    <sheet name="Dashboard-cross section" sheetId="20" state="hidden" r:id="rId31"/>
    <sheet name="Dashboard-pt char" sheetId="41" state="hidden" r:id="rId32"/>
  </sheets>
  <externalReferences>
    <externalReference r:id="rId33"/>
    <externalReference r:id="rId34"/>
    <externalReference r:id="rId35"/>
    <externalReference r:id="rId36"/>
  </externalReferences>
  <definedNames>
    <definedName name="_xlnm._FilterDatabase" localSheetId="3" hidden="1">Acknowledgements!$C$13:$C$17</definedName>
    <definedName name="_xlnm._FilterDatabase" localSheetId="24" hidden="1">trust_data_quality!$A$1:$S$127</definedName>
    <definedName name="aliance_dq_cols" localSheetId="3">[1]Lists!$B$29</definedName>
    <definedName name="aliance_dq_cols" localSheetId="0">[2]Lists!$B$28</definedName>
    <definedName name="aliance_dq_cols" localSheetId="2">[1]Lists!$B$29</definedName>
    <definedName name="aliance_dq_cols" localSheetId="1">[1]Lists!$B$29</definedName>
    <definedName name="aliance_dq_cols">Lists!$B$32</definedName>
    <definedName name="aliance_dq_rows" localSheetId="3">[1]Lists!$B$28</definedName>
    <definedName name="aliance_dq_rows" localSheetId="0">[2]Lists!$B$27</definedName>
    <definedName name="aliance_dq_rows" localSheetId="2">[1]Lists!$B$28</definedName>
    <definedName name="aliance_dq_rows" localSheetId="1">[1]Lists!$B$28</definedName>
    <definedName name="aliance_dq_rows">Lists!$B$31</definedName>
    <definedName name="aliance_dq_table" localSheetId="3">[1]Lists!$B$27</definedName>
    <definedName name="aliance_dq_table" localSheetId="0">[2]Lists!$B$26</definedName>
    <definedName name="aliance_dq_table" localSheetId="2">[1]Lists!$B$27</definedName>
    <definedName name="aliance_dq_table" localSheetId="1">[1]Lists!$B$27</definedName>
    <definedName name="aliance_dq_table">Lists!$B$30</definedName>
    <definedName name="aliance_ptc_cols" localSheetId="3">[1]Lists!$B$36</definedName>
    <definedName name="aliance_ptc_cols" localSheetId="0">[2]Lists!$B$35</definedName>
    <definedName name="aliance_ptc_cols" localSheetId="2">[1]Lists!$B$36</definedName>
    <definedName name="aliance_ptc_cols" localSheetId="1">[1]Lists!$B$36</definedName>
    <definedName name="aliance_ptc_cols">Lists!$B$39</definedName>
    <definedName name="aliance_ptc_rows" localSheetId="3">[1]Lists!$B$37</definedName>
    <definedName name="aliance_ptc_rows" localSheetId="0">[2]Lists!$B$36</definedName>
    <definedName name="aliance_ptc_rows" localSheetId="2">[1]Lists!$B$37</definedName>
    <definedName name="aliance_ptc_rows" localSheetId="1">[1]Lists!$B$37</definedName>
    <definedName name="aliance_ptc_rows">Lists!$B$40</definedName>
    <definedName name="aliance_ptc_table" localSheetId="3">[1]Lists!$B$35</definedName>
    <definedName name="aliance_ptc_table" localSheetId="0">[2]Lists!$B$34</definedName>
    <definedName name="aliance_ptc_table" localSheetId="2">[1]Lists!$B$35</definedName>
    <definedName name="aliance_ptc_table" localSheetId="1">[1]Lists!$B$35</definedName>
    <definedName name="aliance_ptc_table">Lists!$B$38</definedName>
    <definedName name="alliance_dq_cols">[3]Lists!$B$31</definedName>
    <definedName name="alliance_dq_rows">[3]Lists!$B$30</definedName>
    <definedName name="alliance_dq_table">[3]Lists!$B$29</definedName>
    <definedName name="alliance_ptc_cols">[3]Lists!$B$38</definedName>
    <definedName name="alliance_ptc_rows">[3]Lists!$B$39</definedName>
    <definedName name="alliance_ptc_table">[3]Lists!$B$37</definedName>
    <definedName name="denom_missing" localSheetId="3">[1]Lists!$F$25</definedName>
    <definedName name="denom_missing" localSheetId="0">[2]Lists!$F$24</definedName>
    <definedName name="denom_missing" localSheetId="2">[1]Lists!$F$25</definedName>
    <definedName name="denom_missing" localSheetId="1">[1]Lists!$F$25</definedName>
    <definedName name="denom_missing">Lists!$F$28</definedName>
    <definedName name="dq_cell_ref_col_names">Lists!$D$9</definedName>
    <definedName name="dq_cell_ref_matrix" localSheetId="0">[3]Lists!$C$9</definedName>
    <definedName name="dq_cell_ref_matrix">Lists!$C$9</definedName>
    <definedName name="dq_cell_ref_row_names" localSheetId="0">[3]Lists!$E$9</definedName>
    <definedName name="dq_cell_ref_row_names">Lists!$E$9</definedName>
    <definedName name="dq_cell_ref_table" localSheetId="3">[1]Lists!$B$9</definedName>
    <definedName name="dq_cell_ref_table" localSheetId="0">[2]Lists!$B$9</definedName>
    <definedName name="dq_cell_ref_table" localSheetId="2">[1]Lists!$B$9</definedName>
    <definedName name="dq_cell_ref_table" localSheetId="1">[1]Lists!$B$9</definedName>
    <definedName name="dq_cell_ref_table">Lists!$B$9</definedName>
    <definedName name="end_date_england" localSheetId="3">[1]Lists!$C$46</definedName>
    <definedName name="end_date_england" localSheetId="0">[3]Lists!$C$48</definedName>
    <definedName name="end_date_england" localSheetId="2">[1]Lists!$C$46</definedName>
    <definedName name="end_date_england" localSheetId="1">[1]Lists!$C$46</definedName>
    <definedName name="end_date_england">Lists!$C$49</definedName>
    <definedName name="end_date_england_char">[3]Lists!$G$48</definedName>
    <definedName name="Figure_Xaxis_labels" localSheetId="3">[1]Lists!$A$51:$L$52</definedName>
    <definedName name="Figure_Xaxis_labels" localSheetId="0">[2]Lists!$A$50:$L$51</definedName>
    <definedName name="Figure_Xaxis_labels" localSheetId="2">[1]Lists!$A$51:$L$52</definedName>
    <definedName name="Figure_Xaxis_labels" localSheetId="1">[1]Lists!$A$51:$L$52</definedName>
    <definedName name="Figure_Xaxis_labels">Lists!$A$54:$L$55</definedName>
    <definedName name="indic_cell_ref_col_names" localSheetId="3">[1]Lists!$F$28</definedName>
    <definedName name="indic_cell_ref_col_names" localSheetId="0">[2]Lists!$F$27</definedName>
    <definedName name="indic_cell_ref_col_names" localSheetId="2">[1]Lists!$F$28</definedName>
    <definedName name="indic_cell_ref_col_names" localSheetId="1">[1]Lists!$F$28</definedName>
    <definedName name="indic_cell_ref_col_names">Lists!$F$31</definedName>
    <definedName name="indic_cell_ref_matrix" localSheetId="3">[1]Lists!$F$27</definedName>
    <definedName name="indic_cell_ref_matrix" localSheetId="0">[2]Lists!$F$26</definedName>
    <definedName name="indic_cell_ref_matrix" localSheetId="2">[1]Lists!$F$27</definedName>
    <definedName name="indic_cell_ref_matrix" localSheetId="1">[1]Lists!$F$27</definedName>
    <definedName name="indic_cell_ref_matrix">Lists!$F$30</definedName>
    <definedName name="indic_cell_ref_row_names" localSheetId="3">[1]Lists!$F$29</definedName>
    <definedName name="indic_cell_ref_row_names" localSheetId="0">[2]Lists!$F$28</definedName>
    <definedName name="indic_cell_ref_row_names" localSheetId="2">[1]Lists!$F$29</definedName>
    <definedName name="indic_cell_ref_row_names" localSheetId="1">[1]Lists!$F$29</definedName>
    <definedName name="indic_cell_ref_row_names">Lists!$F$32</definedName>
    <definedName name="label_not_available">[4]data_staging!$F$28</definedName>
    <definedName name="n_ca" localSheetId="3">[1]Lists!$C$56</definedName>
    <definedName name="n_ca" localSheetId="0">[3]Lists!$C$58</definedName>
    <definedName name="n_ca" localSheetId="2">[1]Lists!$C$56</definedName>
    <definedName name="n_ca" localSheetId="1">[1]Lists!$C$56</definedName>
    <definedName name="n_ca">Lists!$C$59</definedName>
    <definedName name="n_trusts" localSheetId="3">[1]Lists!$B$56</definedName>
    <definedName name="n_trusts" localSheetId="0">[3]Lists!$B$58</definedName>
    <definedName name="n_trusts" localSheetId="2">[1]Lists!$B$56</definedName>
    <definedName name="n_trusts" localSheetId="1">[1]Lists!$B$56</definedName>
    <definedName name="n_trusts">Lists!$B$59</definedName>
    <definedName name="n_trusts_in_CA" localSheetId="3">[1]Links!$F$8</definedName>
    <definedName name="n_trusts_in_CA" localSheetId="0">[3]Links!$F$8</definedName>
    <definedName name="n_trusts_in_CA" localSheetId="2">[1]Links!$F$8</definedName>
    <definedName name="n_trusts_in_CA" localSheetId="1">[1]Links!$F$8</definedName>
    <definedName name="n_trusts_in_CA">Links!$F$8</definedName>
    <definedName name="national_dq_cols" localSheetId="3">[1]Lists!$B$31</definedName>
    <definedName name="national_dq_cols" localSheetId="0">[3]Lists!$B$33</definedName>
    <definedName name="national_dq_cols" localSheetId="2">[1]Lists!$B$31</definedName>
    <definedName name="national_dq_cols" localSheetId="1">[1]Lists!$B$31</definedName>
    <definedName name="national_dq_cols">Lists!$B$34</definedName>
    <definedName name="national_dq_table">Lists!$B$33</definedName>
    <definedName name="national_ptc_cols" localSheetId="3">[1]Lists!$B$39</definedName>
    <definedName name="national_ptc_cols" localSheetId="0">[3]Lists!$B$41</definedName>
    <definedName name="national_ptc_cols" localSheetId="2">[1]Lists!$B$39</definedName>
    <definedName name="national_ptc_cols" localSheetId="1">[1]Lists!$B$39</definedName>
    <definedName name="national_ptc_cols">Lists!$B$42</definedName>
    <definedName name="national_ptc_row" localSheetId="3">[1]Lists!$B$38</definedName>
    <definedName name="national_ptc_row" localSheetId="0">[3]Lists!$B$40</definedName>
    <definedName name="national_ptc_row" localSheetId="2">[1]Lists!$B$38</definedName>
    <definedName name="national_ptc_row" localSheetId="1">[1]Lists!$B$38</definedName>
    <definedName name="national_ptc_row">Lists!$B$41</definedName>
    <definedName name="publication_quarter" localSheetId="3">[4]lists!$D$24</definedName>
    <definedName name="publication_quarter" localSheetId="0">[3]Lists!#REF!</definedName>
    <definedName name="publication_quarter" localSheetId="2">[4]lists!$D$24</definedName>
    <definedName name="publication_quarter" localSheetId="1">[4]lists!$D$24</definedName>
    <definedName name="publication_quarter">Lists!$E$49</definedName>
    <definedName name="publication_year" localSheetId="3">[4]lists!$C$24</definedName>
    <definedName name="publication_year" localSheetId="2">[4]lists!$C$24</definedName>
    <definedName name="publication_year" localSheetId="1">[4]lists!$C$24</definedName>
    <definedName name="publication_year">Lists!$D$49</definedName>
    <definedName name="selected_dq_datasource_l" localSheetId="3">[1]Links!$H$26</definedName>
    <definedName name="selected_dq_datasource_l" localSheetId="0">[2]Links!$H$26</definedName>
    <definedName name="selected_dq_datasource_l" localSheetId="2">[1]Links!$H$26</definedName>
    <definedName name="selected_dq_datasource_l" localSheetId="1">[1]Links!$H$26</definedName>
    <definedName name="selected_dq_datasource_l">Links!$H$26</definedName>
    <definedName name="selected_dq_datasource_xc" localSheetId="3">[1]Links!$H$22</definedName>
    <definedName name="selected_dq_datasource_xc" localSheetId="0">[3]Links!$H$22</definedName>
    <definedName name="selected_dq_datasource_xc" localSheetId="2">[1]Links!$H$22</definedName>
    <definedName name="selected_dq_datasource_xc" localSheetId="1">[1]Links!$H$22</definedName>
    <definedName name="selected_dq_datasource_xc">Links!$H$22</definedName>
    <definedName name="selected_dq_datavar_l" localSheetId="3">[1]Links!$I$26</definedName>
    <definedName name="selected_dq_datavar_l" localSheetId="0">[2]Links!$I$26</definedName>
    <definedName name="selected_dq_datavar_l" localSheetId="2">[1]Links!$I$26</definedName>
    <definedName name="selected_dq_datavar_l" localSheetId="1">[1]Links!$I$26</definedName>
    <definedName name="selected_dq_datavar_l">Links!$I$26</definedName>
    <definedName name="selected_dq_datavar_xc" localSheetId="3">[1]Links!$I$22</definedName>
    <definedName name="selected_dq_datavar_xc" localSheetId="0">[3]Links!$I$22</definedName>
    <definedName name="selected_dq_datavar_xc" localSheetId="2">[1]Links!$I$22</definedName>
    <definedName name="selected_dq_datavar_xc" localSheetId="1">[1]Links!$I$22</definedName>
    <definedName name="selected_dq_datavar_xc">Links!$I$22</definedName>
    <definedName name="selected_dq_denom_l">Links!$E$26</definedName>
    <definedName name="selected_dq_denom_xc" localSheetId="3">[1]Links!$E$22</definedName>
    <definedName name="selected_dq_denom_xc" localSheetId="0">[3]Links!$E$22</definedName>
    <definedName name="selected_dq_denom_xc" localSheetId="2">[1]Links!$E$22</definedName>
    <definedName name="selected_dq_denom_xc" localSheetId="1">[1]Links!$E$22</definedName>
    <definedName name="selected_dq_denom_xc">Links!$E$22</definedName>
    <definedName name="selected_dq_denomdescr_l" localSheetId="3">[1]Links!$G$26</definedName>
    <definedName name="selected_dq_denomdescr_l" localSheetId="0">[2]Links!$G$26</definedName>
    <definedName name="selected_dq_denomdescr_l" localSheetId="2">[1]Links!$G$26</definedName>
    <definedName name="selected_dq_denomdescr_l" localSheetId="1">[1]Links!$G$26</definedName>
    <definedName name="selected_dq_denomdescr_l">Links!$G$26</definedName>
    <definedName name="selected_dq_denomdescr_xc" localSheetId="3">[1]Links!$G$22</definedName>
    <definedName name="selected_dq_denomdescr_xc" localSheetId="0">[3]Links!$G$22</definedName>
    <definedName name="selected_dq_denomdescr_xc" localSheetId="2">[1]Links!$G$22</definedName>
    <definedName name="selected_dq_denomdescr_xc" localSheetId="1">[1]Links!$G$22</definedName>
    <definedName name="selected_dq_denomdescr_xc">Links!$G$22</definedName>
    <definedName name="selected_dq_descr_l" localSheetId="3">[1]Links!$B$26</definedName>
    <definedName name="selected_dq_descr_l" localSheetId="0">[2]Links!$B$26</definedName>
    <definedName name="selected_dq_descr_l" localSheetId="2">[1]Links!$B$26</definedName>
    <definedName name="selected_dq_descr_l" localSheetId="1">[1]Links!$B$26</definedName>
    <definedName name="selected_dq_descr_l">Links!$B$26</definedName>
    <definedName name="selected_dq_descr_xc" localSheetId="3">[1]Links!$B$22</definedName>
    <definedName name="selected_dq_descr_xc" localSheetId="0">[3]Links!$B$22</definedName>
    <definedName name="selected_dq_descr_xc" localSheetId="2">[1]Links!$B$22</definedName>
    <definedName name="selected_dq_descr_xc" localSheetId="1">[1]Links!$B$22</definedName>
    <definedName name="selected_dq_descr_xc">Links!$B$22</definedName>
    <definedName name="selected_dq_name_l" localSheetId="3">[1]Links!$C$26</definedName>
    <definedName name="selected_dq_name_l" localSheetId="0">[2]Links!$C$26</definedName>
    <definedName name="selected_dq_name_l" localSheetId="2">[1]Links!$C$26</definedName>
    <definedName name="selected_dq_name_l" localSheetId="1">[1]Links!$C$26</definedName>
    <definedName name="selected_dq_name_l">Links!$C$26</definedName>
    <definedName name="selected_dq_name_xc" localSheetId="3">[1]Links!$C$22</definedName>
    <definedName name="selected_dq_name_xc" localSheetId="0">[3]Links!$C$22</definedName>
    <definedName name="selected_dq_name_xc" localSheetId="2">[1]Links!$C$22</definedName>
    <definedName name="selected_dq_name_xc" localSheetId="1">[1]Links!$C$22</definedName>
    <definedName name="selected_dq_name_xc">Links!$C$22</definedName>
    <definedName name="selected_dq_num_l" localSheetId="3">[1]Links!$F$26</definedName>
    <definedName name="selected_dq_num_l" localSheetId="0">[2]Links!$F$26</definedName>
    <definedName name="selected_dq_num_l" localSheetId="2">[1]Links!$F$26</definedName>
    <definedName name="selected_dq_num_l" localSheetId="1">[1]Links!$F$26</definedName>
    <definedName name="selected_dq_num_l">Links!$F$26</definedName>
    <definedName name="selected_dq_num_xc" localSheetId="3">[1]Links!$F$22</definedName>
    <definedName name="selected_dq_num_xc" localSheetId="0">[3]Links!$F$22</definedName>
    <definedName name="selected_dq_num_xc" localSheetId="2">[1]Links!$F$22</definedName>
    <definedName name="selected_dq_num_xc" localSheetId="1">[1]Links!$F$22</definedName>
    <definedName name="selected_dq_num_xc">Links!$F$22</definedName>
    <definedName name="selected_dq_target_l" localSheetId="3">[1]Links!$D$26</definedName>
    <definedName name="selected_dq_target_l" localSheetId="0">[2]Links!$D$26</definedName>
    <definedName name="selected_dq_target_l" localSheetId="2">[1]Links!$D$26</definedName>
    <definedName name="selected_dq_target_l" localSheetId="1">[1]Links!$D$26</definedName>
    <definedName name="selected_dq_target_l">Links!$D$26</definedName>
    <definedName name="selected_dq_target_xc" localSheetId="3">[1]Links!$D$22</definedName>
    <definedName name="selected_dq_target_xc" localSheetId="0">[3]Links!$D$22</definedName>
    <definedName name="selected_dq_target_xc" localSheetId="2">[1]Links!$D$22</definedName>
    <definedName name="selected_dq_target_xc" localSheetId="1">[1]Links!$D$22</definedName>
    <definedName name="selected_dq_target_xc">Links!$D$22</definedName>
    <definedName name="selected_dq_time_l" localSheetId="3">[1]Links!$J$26</definedName>
    <definedName name="selected_dq_time_l" localSheetId="0">[2]Links!$J$26</definedName>
    <definedName name="selected_dq_time_l" localSheetId="2">[1]Links!$J$26</definedName>
    <definedName name="selected_dq_time_l" localSheetId="1">[1]Links!$J$26</definedName>
    <definedName name="selected_dq_time_l">Links!$J$26</definedName>
    <definedName name="selected_dq_time_xc" localSheetId="3">[1]Links!$J$22</definedName>
    <definedName name="selected_dq_time_xc" localSheetId="0">[3]Links!$J$22</definedName>
    <definedName name="selected_dq_time_xc" localSheetId="2">[1]Links!$J$22</definedName>
    <definedName name="selected_dq_time_xc" localSheetId="1">[1]Links!$J$22</definedName>
    <definedName name="selected_dq_time_xc">Links!$J$22</definedName>
    <definedName name="selected_indic_descr">[4]links!$B$7</definedName>
    <definedName name="selected_indic_name">[4]links!$C$7</definedName>
    <definedName name="selected_trust_code">[4]links!$C$12</definedName>
    <definedName name="selected_trust_l" localSheetId="3">[1]Links!$B$12</definedName>
    <definedName name="selected_trust_l" localSheetId="0">[2]Links!$B$12</definedName>
    <definedName name="selected_trust_l" localSheetId="2">[1]Links!$B$12</definedName>
    <definedName name="selected_trust_l" localSheetId="1">[1]Links!$B$12</definedName>
    <definedName name="selected_trust_l">Links!$B$12</definedName>
    <definedName name="selected_trust_l_ca_code">Links!$E$12</definedName>
    <definedName name="selected_trust_l_ca_name" localSheetId="3">[1]Links!$D$12</definedName>
    <definedName name="selected_trust_l_ca_name" localSheetId="2">[1]Links!$D$12</definedName>
    <definedName name="selected_trust_l_ca_name" localSheetId="1">[1]Links!$D$12</definedName>
    <definedName name="selected_trust_l_ca_name">Links!$D$12</definedName>
    <definedName name="selected_trust_l_code" localSheetId="3">[1]Links!$C$12</definedName>
    <definedName name="selected_trust_l_code" localSheetId="0">[2]Links!$C$12</definedName>
    <definedName name="selected_trust_l_code" localSheetId="2">[1]Links!$C$12</definedName>
    <definedName name="selected_trust_l_code" localSheetId="1">[1]Links!$C$12</definedName>
    <definedName name="selected_trust_l_code">Links!$C$12</definedName>
    <definedName name="selected_trust_name">[4]links!$B$12</definedName>
    <definedName name="selected_trust_ptc" localSheetId="3">[1]Links!$B$16</definedName>
    <definedName name="selected_trust_ptc" localSheetId="0">[3]Links!$B$16</definedName>
    <definedName name="selected_trust_ptc" localSheetId="2">[1]Links!$B$16</definedName>
    <definedName name="selected_trust_ptc" localSheetId="1">[1]Links!$B$16</definedName>
    <definedName name="selected_trust_ptc">Links!$B$16</definedName>
    <definedName name="selected_trust_ptc_ca_code">Links!$E$16</definedName>
    <definedName name="selected_trust_ptc_ca_name" localSheetId="3">[1]Links!$D$16</definedName>
    <definedName name="selected_trust_ptc_ca_name" localSheetId="0">[3]Links!$D$16</definedName>
    <definedName name="selected_trust_ptc_ca_name" localSheetId="2">[1]Links!$D$16</definedName>
    <definedName name="selected_trust_ptc_ca_name" localSheetId="1">[1]Links!$D$16</definedName>
    <definedName name="selected_trust_ptc_ca_name">Links!$D$16</definedName>
    <definedName name="selected_trust_ptc_code">Links!$C$16</definedName>
    <definedName name="selected_trust_xc" localSheetId="3">[1]Links!$B$8</definedName>
    <definedName name="selected_trust_xc" localSheetId="0">[3]Links!$B$8</definedName>
    <definedName name="selected_trust_xc" localSheetId="2">[1]Links!$B$8</definedName>
    <definedName name="selected_trust_xc" localSheetId="1">[1]Links!$B$8</definedName>
    <definedName name="selected_trust_xc">Links!$B$8</definedName>
    <definedName name="selected_trust_xc_ca_code">Links!$E$8</definedName>
    <definedName name="selected_trust_xc_ca_name" localSheetId="3">[1]Links!$D$8</definedName>
    <definedName name="selected_trust_xc_ca_name" localSheetId="0">[3]Links!$D$8</definedName>
    <definedName name="selected_trust_xc_ca_name" localSheetId="2">[1]Links!$D$8</definedName>
    <definedName name="selected_trust_xc_ca_name" localSheetId="1">[1]Links!$D$8</definedName>
    <definedName name="selected_trust_xc_ca_name">Links!$D$8</definedName>
    <definedName name="selected_trust_xc_code">Links!$C$8</definedName>
    <definedName name="start_date_england" localSheetId="3">[1]Lists!$B$46</definedName>
    <definedName name="start_date_england" localSheetId="0">[3]Lists!$B$48</definedName>
    <definedName name="start_date_england" localSheetId="2">[1]Lists!$B$46</definedName>
    <definedName name="start_date_england" localSheetId="1">[1]Lists!$B$46</definedName>
    <definedName name="start_date_england">Lists!$B$49</definedName>
    <definedName name="start_date_england_char">[3]Lists!$F$48</definedName>
    <definedName name="sum_ma">[4]data_staging!$F$32</definedName>
    <definedName name="table_national_dq" localSheetId="3">[1]national_data_quality!$A$1:$P$2</definedName>
    <definedName name="table_national_dq" localSheetId="0">[3]national_data_quality!$A$1:$P$2</definedName>
    <definedName name="table_national_dq" localSheetId="2">[1]national_data_quality!$A$1:$P$2</definedName>
    <definedName name="table_national_dq" localSheetId="1">[1]national_data_quality!$A$1:$P$2</definedName>
    <definedName name="table_national_dq">national_data_quality!$A$1:$P$2</definedName>
    <definedName name="table_trust_ca_assoc" localSheetId="3">[1]Lists!$B$61</definedName>
    <definedName name="table_trust_ca_assoc" localSheetId="0">[3]Lists!$B$63</definedName>
    <definedName name="table_trust_ca_assoc" localSheetId="2">[1]Lists!$B$61</definedName>
    <definedName name="table_trust_ca_assoc" localSheetId="1">[1]Lists!$B$61</definedName>
    <definedName name="table_trust_ca_assoc">Lists!$B$64</definedName>
    <definedName name="table_trust_dq">trust_data_quality!$A$1:$S$127</definedName>
    <definedName name="table_trusts_per_CA">Lists!$F$65:$G$88</definedName>
    <definedName name="trust_dq_cols" localSheetId="3">[1]Lists!$B$26</definedName>
    <definedName name="trust_dq_cols" localSheetId="0">[3]Lists!$B$28</definedName>
    <definedName name="trust_dq_cols" localSheetId="2">[1]Lists!$B$26</definedName>
    <definedName name="trust_dq_cols" localSheetId="1">[1]Lists!$B$26</definedName>
    <definedName name="trust_dq_cols">Lists!$B$29</definedName>
    <definedName name="trust_dq_rows" localSheetId="3">[1]Lists!$B$25</definedName>
    <definedName name="trust_dq_rows" localSheetId="0">[3]Lists!$B$27</definedName>
    <definedName name="trust_dq_rows" localSheetId="2">[1]Lists!$B$25</definedName>
    <definedName name="trust_dq_rows" localSheetId="1">[1]Lists!$B$25</definedName>
    <definedName name="trust_dq_rows">Lists!$B$28</definedName>
    <definedName name="trust_dq_table" localSheetId="3">[1]Lists!$B$24</definedName>
    <definedName name="trust_dq_table" localSheetId="0">[3]Lists!$B$26</definedName>
    <definedName name="trust_dq_table" localSheetId="2">[1]Lists!$B$24</definedName>
    <definedName name="trust_dq_table" localSheetId="1">[1]Lists!$B$24</definedName>
    <definedName name="trust_dq_table">Lists!$B$27</definedName>
    <definedName name="trust_ptc_cols" localSheetId="3">[1]Lists!$B$34</definedName>
    <definedName name="trust_ptc_cols" localSheetId="0">[3]Lists!$B$36</definedName>
    <definedName name="trust_ptc_cols" localSheetId="2">[1]Lists!$B$34</definedName>
    <definedName name="trust_ptc_cols" localSheetId="1">[1]Lists!$B$34</definedName>
    <definedName name="trust_ptc_cols">Lists!$B$37</definedName>
    <definedName name="trust_ptc_rows" localSheetId="3">[1]Lists!$B$33</definedName>
    <definedName name="trust_ptc_rows" localSheetId="0">[3]Lists!$B$35</definedName>
    <definedName name="trust_ptc_rows" localSheetId="2">[1]Lists!$B$33</definedName>
    <definedName name="trust_ptc_rows" localSheetId="1">[1]Lists!$B$33</definedName>
    <definedName name="trust_ptc_rows">Lists!$B$36</definedName>
    <definedName name="trust_ptc_table" localSheetId="3">[1]Lists!$B$32</definedName>
    <definedName name="trust_ptc_table" localSheetId="0">[3]Lists!$B$34</definedName>
    <definedName name="trust_ptc_table" localSheetId="2">[1]Lists!$B$32</definedName>
    <definedName name="trust_ptc_table" localSheetId="1">[1]Lists!$B$32</definedName>
    <definedName name="trust_ptc_table">Lists!$B$35</definedName>
    <definedName name="trusts_per_CA" localSheetId="3">[1]Lists!$G$61</definedName>
    <definedName name="trusts_per_CA" localSheetId="0">[3]Lists!$G$63</definedName>
    <definedName name="trusts_per_CA" localSheetId="2">[1]Lists!$G$61</definedName>
    <definedName name="trusts_per_CA" localSheetId="1">[1]Lists!$G$61</definedName>
    <definedName name="trusts_per_CA">Lists!$G$64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 i="42" l="1"/>
  <c r="J22" i="21"/>
  <c r="K22" i="21"/>
  <c r="E67" i="25" l="1"/>
  <c r="E68" i="25"/>
  <c r="E69" i="25"/>
  <c r="E70" i="25"/>
  <c r="E71" i="25"/>
  <c r="E72" i="25"/>
  <c r="E73" i="25"/>
  <c r="E74" i="25"/>
  <c r="E75" i="25"/>
  <c r="E76" i="25"/>
  <c r="E77" i="25"/>
  <c r="E78" i="25"/>
  <c r="E79" i="25"/>
  <c r="E80" i="25"/>
  <c r="E81" i="25"/>
  <c r="E82" i="25"/>
  <c r="E83" i="25"/>
  <c r="E84" i="25"/>
  <c r="E85" i="25"/>
  <c r="E86" i="25"/>
  <c r="E87" i="25"/>
  <c r="E88" i="25"/>
  <c r="E89" i="25"/>
  <c r="E90" i="25"/>
  <c r="E91" i="25"/>
  <c r="E92" i="25"/>
  <c r="E93" i="25"/>
  <c r="E94" i="25"/>
  <c r="E95" i="25"/>
  <c r="E96" i="25"/>
  <c r="E97" i="25"/>
  <c r="E98" i="25"/>
  <c r="E99" i="25"/>
  <c r="E100" i="25"/>
  <c r="E101" i="25"/>
  <c r="E102" i="25"/>
  <c r="E103" i="25"/>
  <c r="E104" i="25"/>
  <c r="E105" i="25"/>
  <c r="E106" i="25"/>
  <c r="E107" i="25"/>
  <c r="E108" i="25"/>
  <c r="E109" i="25"/>
  <c r="E110" i="25"/>
  <c r="E111" i="25"/>
  <c r="E112" i="25"/>
  <c r="E113" i="25"/>
  <c r="E114" i="25"/>
  <c r="E115" i="25"/>
  <c r="E116" i="25"/>
  <c r="E117" i="25"/>
  <c r="E118" i="25"/>
  <c r="E119" i="25"/>
  <c r="E120" i="25"/>
  <c r="E121" i="25"/>
  <c r="E122" i="25"/>
  <c r="E123" i="25"/>
  <c r="E124" i="25"/>
  <c r="E125" i="25"/>
  <c r="E126" i="25"/>
  <c r="E127" i="25"/>
  <c r="E128" i="25"/>
  <c r="E129" i="25"/>
  <c r="E130" i="25"/>
  <c r="E131" i="25"/>
  <c r="E132" i="25"/>
  <c r="E133" i="25"/>
  <c r="E134" i="25"/>
  <c r="E135" i="25"/>
  <c r="E136" i="25"/>
  <c r="E137" i="25"/>
  <c r="E138" i="25"/>
  <c r="E139" i="25"/>
  <c r="E140" i="25"/>
  <c r="E141" i="25"/>
  <c r="E142" i="25"/>
  <c r="E143" i="25"/>
  <c r="E144" i="25"/>
  <c r="E145" i="25"/>
  <c r="E146" i="25"/>
  <c r="E147" i="25"/>
  <c r="E148" i="25"/>
  <c r="E149" i="25"/>
  <c r="E150" i="25"/>
  <c r="E151" i="25"/>
  <c r="E152" i="25"/>
  <c r="E153" i="25"/>
  <c r="E154" i="25"/>
  <c r="E155" i="25"/>
  <c r="E156" i="25"/>
  <c r="E157" i="25"/>
  <c r="E158" i="25"/>
  <c r="E159" i="25"/>
  <c r="E160" i="25"/>
  <c r="E161" i="25"/>
  <c r="E162" i="25"/>
  <c r="E163" i="25"/>
  <c r="E164" i="25"/>
  <c r="E165" i="25"/>
  <c r="E166" i="25"/>
  <c r="E167" i="25"/>
  <c r="E168" i="25"/>
  <c r="E169" i="25"/>
  <c r="E170" i="25"/>
  <c r="E171" i="25"/>
  <c r="E172" i="25"/>
  <c r="E173" i="25"/>
  <c r="E174" i="25"/>
  <c r="E175" i="25"/>
  <c r="E176" i="25"/>
  <c r="E177" i="25"/>
  <c r="E178" i="25"/>
  <c r="E179" i="25"/>
  <c r="E180" i="25"/>
  <c r="E181" i="25"/>
  <c r="E182" i="25"/>
  <c r="E183" i="25"/>
  <c r="E184" i="25"/>
  <c r="E185" i="25"/>
  <c r="E186" i="25"/>
  <c r="E66" i="25"/>
  <c r="E65" i="25"/>
  <c r="B59" i="25"/>
  <c r="F65" i="25" l="1"/>
  <c r="C8" i="21"/>
  <c r="C32" i="51" l="1"/>
  <c r="F29" i="25" l="1"/>
  <c r="G29" i="41"/>
  <c r="G43" i="41"/>
  <c r="G35" i="41"/>
  <c r="G26" i="41"/>
  <c r="G49" i="41"/>
  <c r="G32" i="41"/>
  <c r="G36" i="41"/>
  <c r="G38" i="41"/>
  <c r="G27" i="41"/>
  <c r="G18" i="41"/>
  <c r="G44" i="41"/>
  <c r="G40" i="41"/>
  <c r="G52" i="41"/>
  <c r="G45" i="41"/>
  <c r="G42" i="41"/>
  <c r="G41" i="41"/>
  <c r="G50" i="41"/>
  <c r="G31" i="41"/>
  <c r="G30" i="41"/>
  <c r="G22" i="41"/>
  <c r="G33" i="41"/>
  <c r="G48" i="41"/>
  <c r="G37" i="41"/>
  <c r="G20" i="41"/>
  <c r="G24" i="41"/>
  <c r="G47" i="41"/>
  <c r="G51" i="41"/>
  <c r="G23" i="41"/>
  <c r="G25" i="41"/>
  <c r="G19" i="41"/>
  <c r="U21" i="21" l="1"/>
  <c r="A22" i="40"/>
  <c r="B26" i="21" l="1"/>
  <c r="C13" i="41"/>
  <c r="B16" i="21"/>
  <c r="B12" i="21"/>
  <c r="I26" i="21"/>
  <c r="E47" i="41"/>
  <c r="E43" i="41"/>
  <c r="E12" i="21"/>
  <c r="C16" i="21"/>
  <c r="E32" i="41"/>
  <c r="E23" i="41"/>
  <c r="E31" i="41"/>
  <c r="H26" i="21"/>
  <c r="E40" i="41"/>
  <c r="E42" i="41"/>
  <c r="F26" i="21"/>
  <c r="E50" i="41"/>
  <c r="G26" i="21"/>
  <c r="E20" i="41"/>
  <c r="E26" i="41"/>
  <c r="E24" i="41"/>
  <c r="C26" i="21"/>
  <c r="E49" i="41"/>
  <c r="E44" i="41"/>
  <c r="E30" i="41"/>
  <c r="K26" i="21"/>
  <c r="E48" i="41"/>
  <c r="E51" i="41"/>
  <c r="D12" i="21"/>
  <c r="E38" i="41"/>
  <c r="E16" i="21"/>
  <c r="E26" i="21"/>
  <c r="E27" i="41"/>
  <c r="D16" i="21"/>
  <c r="E37" i="41"/>
  <c r="E22" i="41"/>
  <c r="D26" i="21"/>
  <c r="E35" i="41"/>
  <c r="E36" i="41"/>
  <c r="E19" i="41"/>
  <c r="E41" i="41"/>
  <c r="E33" i="41"/>
  <c r="E29" i="41"/>
  <c r="E25" i="41"/>
  <c r="E18" i="41"/>
  <c r="E45" i="41"/>
  <c r="E52" i="41"/>
  <c r="C12" i="21"/>
  <c r="C37" i="42" l="1"/>
  <c r="C28" i="42"/>
  <c r="C25" i="42"/>
  <c r="C22" i="42"/>
  <c r="C19" i="42"/>
  <c r="C31" i="42"/>
  <c r="K21" i="40"/>
  <c r="F25" i="40"/>
  <c r="D23" i="40"/>
  <c r="J24" i="40"/>
  <c r="F44" i="41"/>
  <c r="N19" i="40"/>
  <c r="H26" i="40"/>
  <c r="F32" i="41"/>
  <c r="K23" i="40"/>
  <c r="I25" i="40"/>
  <c r="G26" i="40"/>
  <c r="F22" i="41"/>
  <c r="H21" i="40"/>
  <c r="L23" i="40"/>
  <c r="C23" i="40"/>
  <c r="J23" i="40"/>
  <c r="E25" i="40"/>
  <c r="C19" i="40"/>
  <c r="E23" i="40"/>
  <c r="E20" i="40"/>
  <c r="H19" i="40"/>
  <c r="C20" i="40"/>
  <c r="C26" i="40"/>
  <c r="H25" i="40"/>
  <c r="I24" i="40"/>
  <c r="D24" i="40"/>
  <c r="G20" i="40"/>
  <c r="E26" i="40"/>
  <c r="F20" i="40"/>
  <c r="F26" i="40"/>
  <c r="F26" i="41"/>
  <c r="F23" i="40"/>
  <c r="M24" i="40"/>
  <c r="F37" i="41"/>
  <c r="L25" i="40"/>
  <c r="F31" i="41"/>
  <c r="F51" i="41"/>
  <c r="C24" i="40"/>
  <c r="N21" i="40"/>
  <c r="J26" i="40"/>
  <c r="M23" i="40"/>
  <c r="F40" i="41"/>
  <c r="I26" i="40"/>
  <c r="K26" i="40"/>
  <c r="J25" i="40"/>
  <c r="E21" i="40"/>
  <c r="D21" i="40"/>
  <c r="M20" i="40"/>
  <c r="G25" i="40"/>
  <c r="F19" i="41"/>
  <c r="F35" i="41"/>
  <c r="F33" i="41"/>
  <c r="F29" i="41"/>
  <c r="K20" i="40"/>
  <c r="D20" i="40"/>
  <c r="J21" i="40"/>
  <c r="I19" i="40"/>
  <c r="N23" i="40"/>
  <c r="K19" i="40"/>
  <c r="F19" i="40"/>
  <c r="G23" i="40"/>
  <c r="K25" i="40"/>
  <c r="G21" i="40"/>
  <c r="M21" i="40"/>
  <c r="L20" i="40"/>
  <c r="F43" i="41"/>
  <c r="F52" i="41"/>
  <c r="F36" i="41"/>
  <c r="F38" i="41"/>
  <c r="I21" i="40"/>
  <c r="N26" i="40"/>
  <c r="F24" i="41"/>
  <c r="N20" i="40"/>
  <c r="G24" i="40"/>
  <c r="G19" i="40"/>
  <c r="M19" i="40"/>
  <c r="L19" i="40"/>
  <c r="L24" i="40"/>
  <c r="F45" i="41"/>
  <c r="H24" i="40"/>
  <c r="E19" i="40"/>
  <c r="D19" i="40"/>
  <c r="F18" i="41"/>
  <c r="F20" i="41"/>
  <c r="F30" i="41"/>
  <c r="F49" i="41"/>
  <c r="C21" i="40"/>
  <c r="I20" i="40"/>
  <c r="M26" i="40"/>
  <c r="K24" i="40"/>
  <c r="F42" i="41"/>
  <c r="L21" i="40"/>
  <c r="E24" i="40"/>
  <c r="F23" i="41"/>
  <c r="F25" i="41"/>
  <c r="H20" i="40"/>
  <c r="N25" i="40"/>
  <c r="M25" i="40"/>
  <c r="I23" i="40"/>
  <c r="F24" i="40"/>
  <c r="N24" i="40"/>
  <c r="F47" i="41"/>
  <c r="D25" i="40"/>
  <c r="L26" i="40"/>
  <c r="F41" i="41"/>
  <c r="D26" i="40"/>
  <c r="J19" i="40"/>
  <c r="C25" i="40"/>
  <c r="F27" i="41"/>
  <c r="J20" i="40"/>
  <c r="F50" i="41"/>
  <c r="F48" i="41"/>
  <c r="H23" i="40"/>
  <c r="N37" i="40" l="1"/>
  <c r="M37" i="40"/>
  <c r="L37" i="40"/>
  <c r="K37" i="40"/>
  <c r="J37" i="40"/>
  <c r="I37" i="40"/>
  <c r="H37" i="40"/>
  <c r="G37" i="40"/>
  <c r="F37" i="40"/>
  <c r="E37" i="40"/>
  <c r="D37" i="40"/>
  <c r="C37" i="40"/>
  <c r="N38" i="40"/>
  <c r="M38" i="40"/>
  <c r="L38" i="40"/>
  <c r="K38" i="40"/>
  <c r="J38" i="40"/>
  <c r="I38" i="40"/>
  <c r="H38" i="40"/>
  <c r="G38" i="40"/>
  <c r="F38" i="40"/>
  <c r="E38" i="40"/>
  <c r="D38" i="40"/>
  <c r="C38" i="40"/>
  <c r="N39" i="40"/>
  <c r="M39" i="40"/>
  <c r="L39" i="40"/>
  <c r="K39" i="40"/>
  <c r="J39" i="40"/>
  <c r="I39" i="40"/>
  <c r="H39" i="40"/>
  <c r="G39" i="40"/>
  <c r="F39" i="40"/>
  <c r="E39" i="40"/>
  <c r="D39" i="40"/>
  <c r="C39" i="40"/>
  <c r="N40" i="40"/>
  <c r="M40" i="40"/>
  <c r="L40" i="40"/>
  <c r="K40" i="40"/>
  <c r="J40" i="40"/>
  <c r="I40" i="40"/>
  <c r="H40" i="40"/>
  <c r="G40" i="40"/>
  <c r="F40" i="40"/>
  <c r="E40" i="40"/>
  <c r="D40" i="40"/>
  <c r="C40" i="40"/>
  <c r="F22" i="40"/>
  <c r="M22" i="40"/>
  <c r="L22" i="40"/>
  <c r="K22" i="40"/>
  <c r="J22" i="40"/>
  <c r="I22" i="40"/>
  <c r="H22" i="40"/>
  <c r="E22" i="40"/>
  <c r="D22" i="40"/>
  <c r="C22" i="40"/>
  <c r="N22" i="40"/>
  <c r="G22" i="40"/>
  <c r="C11" i="41"/>
  <c r="F21" i="40"/>
  <c r="C59" i="25" l="1"/>
  <c r="H23" i="20" l="1"/>
  <c r="H34" i="20"/>
  <c r="E30" i="21"/>
  <c r="J21" i="20"/>
  <c r="J26" i="21"/>
  <c r="C34" i="42" l="1"/>
  <c r="G91" i="25"/>
  <c r="C5" i="40" a="1"/>
  <c r="C5" i="40" s="1"/>
  <c r="C31" i="40" a="1"/>
  <c r="C31" i="40" s="1"/>
  <c r="C17" i="40" l="1" a="1"/>
  <c r="C17" i="40" s="1"/>
  <c r="G2" i="39"/>
  <c r="E3" i="39"/>
  <c r="E4" i="39"/>
  <c r="E5" i="39"/>
  <c r="E6" i="39"/>
  <c r="E7" i="39"/>
  <c r="E8" i="39"/>
  <c r="E9" i="39"/>
  <c r="E10" i="39"/>
  <c r="E11" i="39"/>
  <c r="E12" i="39"/>
  <c r="E13" i="39"/>
  <c r="E14" i="39"/>
  <c r="E15" i="39"/>
  <c r="E16" i="39"/>
  <c r="E17" i="39"/>
  <c r="E18" i="39"/>
  <c r="E19" i="39"/>
  <c r="E20" i="39"/>
  <c r="E21" i="39"/>
  <c r="E22" i="39"/>
  <c r="E23" i="39"/>
  <c r="E24" i="39"/>
  <c r="E25" i="39"/>
  <c r="E26" i="39"/>
  <c r="E27" i="39"/>
  <c r="E28" i="39"/>
  <c r="E29" i="39"/>
  <c r="E30" i="39"/>
  <c r="E31" i="39"/>
  <c r="E32" i="39"/>
  <c r="E33" i="39"/>
  <c r="E34" i="39"/>
  <c r="E35" i="39"/>
  <c r="E36" i="39"/>
  <c r="E37" i="39"/>
  <c r="E38" i="39"/>
  <c r="E39" i="39"/>
  <c r="E40" i="39"/>
  <c r="E41" i="39"/>
  <c r="E42" i="39"/>
  <c r="E43" i="39"/>
  <c r="E44" i="39"/>
  <c r="E45" i="39"/>
  <c r="E46" i="39"/>
  <c r="E47" i="39"/>
  <c r="E48" i="39"/>
  <c r="E49" i="39"/>
  <c r="E50" i="39"/>
  <c r="E51" i="39"/>
  <c r="E52" i="39"/>
  <c r="E53" i="39"/>
  <c r="E54" i="39"/>
  <c r="E55" i="39"/>
  <c r="E56" i="39"/>
  <c r="E57" i="39"/>
  <c r="E58" i="39"/>
  <c r="E59" i="39"/>
  <c r="E60" i="39"/>
  <c r="E61" i="39"/>
  <c r="E62" i="39"/>
  <c r="E63" i="39"/>
  <c r="E64" i="39"/>
  <c r="E65" i="39"/>
  <c r="E66" i="39"/>
  <c r="E67" i="39"/>
  <c r="E68" i="39"/>
  <c r="E69" i="39"/>
  <c r="E70" i="39"/>
  <c r="E71" i="39"/>
  <c r="E72" i="39"/>
  <c r="E73" i="39"/>
  <c r="E74" i="39"/>
  <c r="E75" i="39"/>
  <c r="E76" i="39"/>
  <c r="E77" i="39"/>
  <c r="E78" i="39"/>
  <c r="E79" i="39"/>
  <c r="E80" i="39"/>
  <c r="E81" i="39"/>
  <c r="E82" i="39"/>
  <c r="E83" i="39"/>
  <c r="E84" i="39"/>
  <c r="E85" i="39"/>
  <c r="E86" i="39"/>
  <c r="E87" i="39"/>
  <c r="E88" i="39"/>
  <c r="E89" i="39"/>
  <c r="E90" i="39"/>
  <c r="E91" i="39"/>
  <c r="E92" i="39"/>
  <c r="E93" i="39"/>
  <c r="E94" i="39"/>
  <c r="E95" i="39"/>
  <c r="E96" i="39"/>
  <c r="E97" i="39"/>
  <c r="E98" i="39"/>
  <c r="E99" i="39"/>
  <c r="E100" i="39"/>
  <c r="E101" i="39"/>
  <c r="E102" i="39"/>
  <c r="E103" i="39"/>
  <c r="E104" i="39"/>
  <c r="E105" i="39"/>
  <c r="E106" i="39"/>
  <c r="E107" i="39"/>
  <c r="E108" i="39"/>
  <c r="E109" i="39"/>
  <c r="E110" i="39"/>
  <c r="E111" i="39"/>
  <c r="E112" i="39"/>
  <c r="E113" i="39"/>
  <c r="E114" i="39"/>
  <c r="E115" i="39"/>
  <c r="E116" i="39"/>
  <c r="E117" i="39"/>
  <c r="E118" i="39"/>
  <c r="E119" i="39"/>
  <c r="E120" i="39"/>
  <c r="E121" i="39"/>
  <c r="E122" i="39"/>
  <c r="E123" i="39"/>
  <c r="E124" i="39"/>
  <c r="E125" i="39"/>
  <c r="E126" i="39"/>
  <c r="E127" i="39"/>
  <c r="E2" i="39"/>
  <c r="B22" i="21" l="1"/>
  <c r="F22" i="21"/>
  <c r="G22" i="21"/>
  <c r="E22" i="21"/>
  <c r="H22" i="21"/>
  <c r="I22" i="21"/>
  <c r="C22" i="21"/>
  <c r="R46" i="24" a="1"/>
  <c r="R10" i="24" a="1"/>
  <c r="R104" i="24" a="1"/>
  <c r="R24" i="24" a="1"/>
  <c r="R119" i="24" a="1"/>
  <c r="R87" i="24" a="1"/>
  <c r="R78" i="24" a="1"/>
  <c r="R127" i="24" a="1"/>
  <c r="P16" i="23" a="1"/>
  <c r="R36" i="24" a="1"/>
  <c r="P22" i="23" a="1"/>
  <c r="R89" i="24" a="1"/>
  <c r="R55" i="24" a="1"/>
  <c r="R68" i="24" a="1"/>
  <c r="R13" i="24" a="1"/>
  <c r="R75" i="24" a="1"/>
  <c r="R12" i="24" a="1"/>
  <c r="R67" i="24" a="1"/>
  <c r="R102" i="24" a="1"/>
  <c r="R18" i="24" a="1"/>
  <c r="R126" i="24" a="1"/>
  <c r="R19" i="24" a="1"/>
  <c r="R35" i="24" a="1"/>
  <c r="R125" i="24" a="1"/>
  <c r="R90" i="24" a="1"/>
  <c r="R37" i="24" a="1"/>
  <c r="R109" i="24" a="1"/>
  <c r="R114" i="24" a="1"/>
  <c r="P18" i="23" a="1"/>
  <c r="R54" i="24" a="1"/>
  <c r="R99" i="24" a="1"/>
  <c r="R42" i="24" a="1"/>
  <c r="R63" i="24" a="1"/>
  <c r="R108" i="24" a="1"/>
  <c r="R43" i="24" a="1"/>
  <c r="R56" i="24" a="1"/>
  <c r="P8" i="23" a="1"/>
  <c r="R32" i="24" a="1"/>
  <c r="R9" i="24" a="1"/>
  <c r="R52" i="24" a="1"/>
  <c r="R2" i="24" a="1"/>
  <c r="R58" i="24" a="1"/>
  <c r="R57" i="24" a="1"/>
  <c r="P5" i="23" a="1"/>
  <c r="R86" i="24" a="1"/>
  <c r="R103" i="24" a="1"/>
  <c r="R111" i="24" a="1"/>
  <c r="P2" i="23" a="1"/>
  <c r="P11" i="23" a="1"/>
  <c r="R123" i="24" a="1"/>
  <c r="R25" i="24" a="1"/>
  <c r="P3" i="23" a="1"/>
  <c r="P4" i="23" a="1"/>
  <c r="D22" i="21"/>
  <c r="R30" i="24" a="1"/>
  <c r="P19" i="23" a="1"/>
  <c r="R73" i="24" a="1"/>
  <c r="R47" i="24" a="1"/>
  <c r="R26" i="24" a="1"/>
  <c r="R49" i="24" a="1"/>
  <c r="R112" i="24" a="1"/>
  <c r="R8" i="24" a="1"/>
  <c r="P13" i="23" a="1"/>
  <c r="R21" i="24" a="1"/>
  <c r="P14" i="23" a="1"/>
  <c r="R40" i="24" a="1"/>
  <c r="R115" i="24" a="1"/>
  <c r="R11" i="24" a="1"/>
  <c r="P10" i="23" a="1"/>
  <c r="R117" i="24" a="1"/>
  <c r="R62" i="24" a="1"/>
  <c r="P12" i="23" a="1"/>
  <c r="R76" i="24" a="1"/>
  <c r="R28" i="24" a="1"/>
  <c r="R77" i="24" a="1"/>
  <c r="R6" i="24" a="1"/>
  <c r="R41" i="24" a="1"/>
  <c r="P15" i="23" a="1"/>
  <c r="R85" i="24" a="1"/>
  <c r="R93" i="24" a="1"/>
  <c r="R106" i="24" a="1"/>
  <c r="R116" i="24" a="1"/>
  <c r="R29" i="24" a="1"/>
  <c r="R59" i="24" a="1"/>
  <c r="P7" i="23" a="1"/>
  <c r="P17" i="23" a="1"/>
  <c r="R121" i="24" a="1"/>
  <c r="R100" i="24" a="1"/>
  <c r="R81" i="24" a="1"/>
  <c r="R113" i="24" a="1"/>
  <c r="P6" i="23" a="1"/>
  <c r="R91" i="24" a="1"/>
  <c r="R15" i="24" a="1"/>
  <c r="R74" i="24" a="1"/>
  <c r="R44" i="24" a="1"/>
  <c r="R97" i="24" a="1"/>
  <c r="R64" i="24" a="1"/>
  <c r="R120" i="24" a="1"/>
  <c r="R51" i="24" a="1"/>
  <c r="R48" i="24" a="1"/>
  <c r="P9" i="23" a="1"/>
  <c r="R39" i="24" a="1"/>
  <c r="R27" i="24" a="1"/>
  <c r="R96" i="24" a="1"/>
  <c r="R60" i="24" a="1"/>
  <c r="R17" i="24" a="1"/>
  <c r="R4" i="24" a="1"/>
  <c r="R34" i="24" a="1"/>
  <c r="P21" i="23" a="1"/>
  <c r="R69" i="24" a="1"/>
  <c r="R122" i="24" a="1"/>
  <c r="R94" i="24" a="1"/>
  <c r="R95" i="24" a="1"/>
  <c r="R38" i="24" a="1"/>
  <c r="R72" i="24" a="1"/>
  <c r="R31" i="24" a="1"/>
  <c r="R84" i="24" a="1"/>
  <c r="R70" i="24" a="1"/>
  <c r="R118" i="24" a="1"/>
  <c r="R83" i="24" a="1"/>
  <c r="R3" i="24" a="1"/>
  <c r="R124" i="24" a="1"/>
  <c r="R82" i="24" a="1"/>
  <c r="R79" i="24" a="1"/>
  <c r="R105" i="24" a="1"/>
  <c r="R22" i="24" a="1"/>
  <c r="R50" i="24" a="1"/>
  <c r="R80" i="24" a="1"/>
  <c r="R110" i="24" a="1"/>
  <c r="R53" i="24" a="1"/>
  <c r="R20" i="24" a="1"/>
  <c r="R61" i="24" a="1"/>
  <c r="R23" i="24" a="1"/>
  <c r="R16" i="24" a="1"/>
  <c r="R14" i="24" a="1"/>
  <c r="R33" i="24" a="1"/>
  <c r="R71" i="24" a="1"/>
  <c r="R7" i="24" a="1"/>
  <c r="R107" i="24" a="1"/>
  <c r="R92" i="24" a="1"/>
  <c r="R101" i="24" a="1"/>
  <c r="R98" i="24" a="1"/>
  <c r="R5" i="24" a="1"/>
  <c r="P20" i="23" a="1"/>
  <c r="R66" i="24" a="1"/>
  <c r="R45" i="24" a="1"/>
  <c r="R88" i="24" a="1"/>
  <c r="R3" i="24" l="1"/>
  <c r="R11" i="24"/>
  <c r="R19" i="24"/>
  <c r="R27" i="24"/>
  <c r="R35" i="24"/>
  <c r="R43" i="24"/>
  <c r="R51" i="24"/>
  <c r="R59" i="24"/>
  <c r="R67" i="24"/>
  <c r="R75" i="24"/>
  <c r="R83" i="24"/>
  <c r="R91" i="24"/>
  <c r="R99" i="24"/>
  <c r="R107" i="24"/>
  <c r="R115" i="24"/>
  <c r="R123" i="24"/>
  <c r="R20" i="24"/>
  <c r="R28" i="24"/>
  <c r="R36" i="24"/>
  <c r="R44" i="24"/>
  <c r="R60" i="24"/>
  <c r="R68" i="24"/>
  <c r="R76" i="24"/>
  <c r="R84" i="24"/>
  <c r="R92" i="24"/>
  <c r="R108" i="24"/>
  <c r="R116" i="24"/>
  <c r="R124" i="24"/>
  <c r="R5" i="24"/>
  <c r="R29" i="24"/>
  <c r="R61" i="24"/>
  <c r="R77" i="24"/>
  <c r="R101" i="24"/>
  <c r="R125" i="24"/>
  <c r="R4" i="24"/>
  <c r="R52" i="24"/>
  <c r="R100" i="24"/>
  <c r="R13" i="24"/>
  <c r="R53" i="24"/>
  <c r="R93" i="24"/>
  <c r="R12" i="24"/>
  <c r="R45" i="24"/>
  <c r="R109" i="24"/>
  <c r="R6" i="24"/>
  <c r="R14" i="24"/>
  <c r="R22" i="24"/>
  <c r="R30" i="24"/>
  <c r="R38" i="24"/>
  <c r="R46" i="24"/>
  <c r="R54" i="24"/>
  <c r="R62" i="24"/>
  <c r="R70" i="24"/>
  <c r="R78" i="24"/>
  <c r="R86" i="24"/>
  <c r="R94" i="24"/>
  <c r="R102" i="24"/>
  <c r="R110" i="24"/>
  <c r="R118" i="24"/>
  <c r="R126" i="24"/>
  <c r="R8" i="24"/>
  <c r="R16" i="24"/>
  <c r="R24" i="24"/>
  <c r="R32" i="24"/>
  <c r="R40" i="24"/>
  <c r="R48" i="24"/>
  <c r="R56" i="24"/>
  <c r="R64" i="24"/>
  <c r="R72" i="24"/>
  <c r="R80" i="24"/>
  <c r="R88" i="24"/>
  <c r="R96" i="24"/>
  <c r="R104" i="24"/>
  <c r="R112" i="24"/>
  <c r="R120" i="24"/>
  <c r="R9" i="24"/>
  <c r="R17" i="24"/>
  <c r="R25" i="24"/>
  <c r="R33" i="24"/>
  <c r="R41" i="24"/>
  <c r="R49" i="24"/>
  <c r="R57" i="24"/>
  <c r="R73" i="24"/>
  <c r="R81" i="24"/>
  <c r="R89" i="24"/>
  <c r="R97" i="24"/>
  <c r="R105" i="24"/>
  <c r="R113" i="24"/>
  <c r="R121" i="24"/>
  <c r="R10" i="24"/>
  <c r="R18" i="24"/>
  <c r="R26" i="24"/>
  <c r="R34" i="24"/>
  <c r="R42" i="24"/>
  <c r="R50" i="24"/>
  <c r="R58" i="24"/>
  <c r="R66" i="24"/>
  <c r="R74" i="24"/>
  <c r="R82" i="24"/>
  <c r="R90" i="24"/>
  <c r="R98" i="24"/>
  <c r="R106" i="24"/>
  <c r="R114" i="24"/>
  <c r="R122" i="24"/>
  <c r="R21" i="24"/>
  <c r="R37" i="24"/>
  <c r="R69" i="24"/>
  <c r="R85" i="24"/>
  <c r="R117" i="24"/>
  <c r="R7" i="24"/>
  <c r="R63" i="24"/>
  <c r="R15" i="24"/>
  <c r="R71" i="24"/>
  <c r="R23" i="24"/>
  <c r="R119" i="24"/>
  <c r="R79" i="24"/>
  <c r="R127" i="24"/>
  <c r="R87" i="24"/>
  <c r="R47" i="24"/>
  <c r="R55" i="24"/>
  <c r="R111" i="24"/>
  <c r="R31" i="24"/>
  <c r="R39" i="24"/>
  <c r="R95" i="24"/>
  <c r="R103" i="24"/>
  <c r="R2" i="24"/>
  <c r="P7" i="23"/>
  <c r="P15" i="23"/>
  <c r="P8" i="23"/>
  <c r="P16" i="23"/>
  <c r="P9" i="23"/>
  <c r="P17" i="23"/>
  <c r="P10" i="23"/>
  <c r="P18" i="23"/>
  <c r="P3" i="23"/>
  <c r="P11" i="23"/>
  <c r="P19" i="23"/>
  <c r="P4" i="23"/>
  <c r="P12" i="23"/>
  <c r="P20" i="23"/>
  <c r="P5" i="23"/>
  <c r="P13" i="23"/>
  <c r="P21" i="23"/>
  <c r="P6" i="23"/>
  <c r="P14" i="23"/>
  <c r="P22" i="23"/>
  <c r="P2" i="23"/>
  <c r="C21" i="20"/>
  <c r="K19" i="20"/>
  <c r="K10" i="20"/>
  <c r="K4" i="20"/>
  <c r="K7" i="20"/>
  <c r="K13" i="20"/>
  <c r="O2" i="22" a="1"/>
  <c r="O2" i="22" s="1"/>
  <c r="R65" i="24" a="1"/>
  <c r="F28" i="20"/>
  <c r="G28" i="20"/>
  <c r="R65" i="24" l="1"/>
  <c r="F29" i="21"/>
  <c r="F30" i="21" s="1"/>
  <c r="K16" i="20"/>
  <c r="G36" i="40"/>
  <c r="E36" i="40"/>
  <c r="F36" i="40"/>
  <c r="D36" i="40"/>
  <c r="K36" i="40"/>
  <c r="H36" i="40"/>
  <c r="J36" i="40"/>
  <c r="M36" i="40"/>
  <c r="L36" i="40"/>
  <c r="I36" i="40"/>
  <c r="C36" i="40"/>
  <c r="N36" i="40"/>
  <c r="G35" i="20" l="1"/>
  <c r="G24" i="20"/>
  <c r="Q17" i="23"/>
  <c r="S11" i="24"/>
  <c r="Q10" i="23"/>
  <c r="S118" i="24"/>
  <c r="S103" i="24"/>
  <c r="S70" i="24"/>
  <c r="S18" i="24"/>
  <c r="S40" i="24"/>
  <c r="S109" i="24"/>
  <c r="S38" i="24"/>
  <c r="S100" i="24"/>
  <c r="S107" i="24"/>
  <c r="S115" i="24"/>
  <c r="S36" i="24"/>
  <c r="S111" i="24"/>
  <c r="S126" i="24"/>
  <c r="Q7" i="23"/>
  <c r="S19" i="24"/>
  <c r="S93" i="24"/>
  <c r="S44" i="24"/>
  <c r="S78" i="24"/>
  <c r="S76" i="24"/>
  <c r="S92" i="24"/>
  <c r="S68" i="24"/>
  <c r="S28" i="24"/>
  <c r="Q3" i="23"/>
  <c r="S106" i="24"/>
  <c r="S123" i="24"/>
  <c r="S84" i="24"/>
  <c r="S60" i="24"/>
  <c r="S52" i="24"/>
  <c r="S13" i="24"/>
  <c r="S112" i="24"/>
  <c r="S95" i="24"/>
  <c r="S34" i="24"/>
  <c r="S51" i="24"/>
  <c r="S102" i="24"/>
  <c r="S77" i="24"/>
  <c r="S101" i="24"/>
  <c r="S15" i="24"/>
  <c r="S53" i="24"/>
  <c r="S125" i="24"/>
  <c r="S29" i="24"/>
  <c r="Q4" i="23"/>
  <c r="Q13" i="23"/>
  <c r="S74" i="24"/>
  <c r="S75" i="24"/>
  <c r="S37" i="24"/>
  <c r="S90" i="24"/>
  <c r="S20" i="24"/>
  <c r="S89" i="24"/>
  <c r="S96" i="24"/>
  <c r="S79" i="24"/>
  <c r="S66" i="24"/>
  <c r="S23" i="24"/>
  <c r="S94" i="24"/>
  <c r="S85" i="24"/>
  <c r="S5" i="24"/>
  <c r="S62" i="24"/>
  <c r="S30" i="24"/>
  <c r="S14" i="24"/>
  <c r="Q22" i="23"/>
  <c r="S12" i="24"/>
  <c r="S122" i="24"/>
  <c r="S67" i="24"/>
  <c r="S27" i="24"/>
  <c r="S113" i="24"/>
  <c r="S26" i="24"/>
  <c r="S80" i="24"/>
  <c r="S63" i="24"/>
  <c r="S71" i="24"/>
  <c r="Q16" i="23"/>
  <c r="S7" i="24"/>
  <c r="Q15" i="23"/>
  <c r="S31" i="24"/>
  <c r="S43" i="24"/>
  <c r="Q5" i="23"/>
  <c r="S83" i="24"/>
  <c r="S91" i="24"/>
  <c r="Q12" i="23"/>
  <c r="S120" i="24"/>
  <c r="S59" i="24"/>
  <c r="S6" i="24"/>
  <c r="S121" i="24"/>
  <c r="S97" i="24"/>
  <c r="S72" i="24"/>
  <c r="S64" i="24"/>
  <c r="S48" i="24"/>
  <c r="Q8" i="23"/>
  <c r="S9" i="24"/>
  <c r="S35" i="24"/>
  <c r="S47" i="24"/>
  <c r="S45" i="24"/>
  <c r="S55" i="24"/>
  <c r="S124" i="24"/>
  <c r="Q14" i="23"/>
  <c r="S8" i="24"/>
  <c r="S108" i="24"/>
  <c r="S116" i="24"/>
  <c r="Q19" i="23"/>
  <c r="Q11" i="23"/>
  <c r="S57" i="24"/>
  <c r="S105" i="24"/>
  <c r="S114" i="24"/>
  <c r="S58" i="24"/>
  <c r="S81" i="24"/>
  <c r="S25" i="24"/>
  <c r="S49" i="24"/>
  <c r="S32" i="24"/>
  <c r="S3" i="24"/>
  <c r="S24" i="24"/>
  <c r="S21" i="24"/>
  <c r="S4" i="24"/>
  <c r="S110" i="24"/>
  <c r="S117" i="24"/>
  <c r="S46" i="24"/>
  <c r="S73" i="24"/>
  <c r="S22" i="24"/>
  <c r="S61" i="24"/>
  <c r="Q18" i="23"/>
  <c r="Q21" i="23"/>
  <c r="S119" i="24"/>
  <c r="S42" i="24"/>
  <c r="S98" i="24"/>
  <c r="S88" i="24"/>
  <c r="S65" i="24"/>
  <c r="S87" i="24"/>
  <c r="S33" i="24"/>
  <c r="S16" i="24"/>
  <c r="S86" i="24"/>
  <c r="S39" i="24"/>
  <c r="Q6" i="23"/>
  <c r="S54" i="24"/>
  <c r="S69" i="24"/>
  <c r="S99" i="24"/>
  <c r="S127" i="24"/>
  <c r="Q9" i="23"/>
  <c r="Q20" i="23"/>
  <c r="S56" i="24"/>
  <c r="S104" i="24"/>
  <c r="S82" i="24"/>
  <c r="S41" i="24"/>
  <c r="S50" i="24"/>
  <c r="S10" i="24"/>
  <c r="S17" i="24"/>
  <c r="Q2" i="23"/>
  <c r="S2" i="24"/>
  <c r="B8" i="21"/>
  <c r="D8" i="21"/>
  <c r="F26" i="20"/>
  <c r="E8" i="21"/>
  <c r="G26" i="20"/>
  <c r="H26" i="20"/>
  <c r="C29" i="21" l="1"/>
  <c r="C30" i="21" s="1"/>
  <c r="D29" i="21"/>
  <c r="D26" i="20"/>
  <c r="C31" i="20"/>
  <c r="H27" i="20"/>
  <c r="F27" i="20"/>
  <c r="F8" i="21"/>
  <c r="G27" i="20"/>
  <c r="D27" i="20" l="1"/>
  <c r="C11" i="20"/>
  <c r="C33" i="40"/>
  <c r="D34" i="40"/>
  <c r="D33" i="40"/>
  <c r="H35" i="40"/>
  <c r="E33" i="40"/>
  <c r="E34" i="40"/>
  <c r="G34" i="40"/>
  <c r="G33" i="40"/>
  <c r="L35" i="40"/>
  <c r="M35" i="40"/>
  <c r="F34" i="40"/>
  <c r="F33" i="40"/>
  <c r="H34" i="40"/>
  <c r="H33" i="40"/>
  <c r="J33" i="40"/>
  <c r="J34" i="40"/>
  <c r="N35" i="40"/>
  <c r="K33" i="40"/>
  <c r="K34" i="40"/>
  <c r="L34" i="40"/>
  <c r="L33" i="40"/>
  <c r="M34" i="40"/>
  <c r="M33" i="40"/>
  <c r="N33" i="40"/>
  <c r="N34" i="40"/>
  <c r="D35" i="40"/>
  <c r="E35" i="40"/>
  <c r="F35" i="40"/>
  <c r="G35" i="40"/>
  <c r="I35" i="40"/>
  <c r="J35" i="40"/>
  <c r="K35" i="40"/>
  <c r="I33" i="40"/>
  <c r="I34" i="40"/>
  <c r="C34" i="40"/>
  <c r="C35" i="40"/>
  <c r="D42" i="20" l="1" a="1"/>
  <c r="D42" i="20" s="1"/>
  <c r="H38" i="20" a="1"/>
  <c r="H38" i="20" s="1"/>
  <c r="H47" i="20" a="1"/>
  <c r="H47" i="20" s="1"/>
  <c r="D45" i="20" a="1"/>
  <c r="D45" i="20" s="1"/>
  <c r="G38" i="20" a="1"/>
  <c r="G38" i="20" s="1"/>
  <c r="H36" i="20" a="1"/>
  <c r="H36" i="20" s="1"/>
  <c r="G43" i="20" a="1"/>
  <c r="G43" i="20" s="1"/>
  <c r="G36" i="20" a="1"/>
  <c r="G36" i="20" s="1"/>
  <c r="D46" i="20" a="1"/>
  <c r="D46" i="20" s="1"/>
  <c r="D40" i="20" a="1"/>
  <c r="D40" i="20" s="1"/>
  <c r="H45" i="20" a="1"/>
  <c r="H45" i="20" s="1"/>
  <c r="H39" i="20" a="1"/>
  <c r="H39" i="20" s="1"/>
  <c r="G39" i="20" a="1"/>
  <c r="G39" i="20" s="1"/>
  <c r="G45" i="20" a="1"/>
  <c r="G45" i="20" s="1"/>
  <c r="G42" i="20" a="1"/>
  <c r="G42" i="20" s="1"/>
  <c r="F45" i="20" a="1"/>
  <c r="F45" i="20" s="1"/>
  <c r="F42" i="20" a="1"/>
  <c r="F42" i="20" s="1"/>
  <c r="H44" i="20" a="1"/>
  <c r="H44" i="20" s="1"/>
  <c r="H41" i="20" a="1"/>
  <c r="H41" i="20" s="1"/>
  <c r="F38" i="20" a="1"/>
  <c r="F38" i="20" s="1"/>
  <c r="G47" i="20" a="1"/>
  <c r="G47" i="20" s="1"/>
  <c r="G44" i="20" a="1"/>
  <c r="G44" i="20" s="1"/>
  <c r="D38" i="20" a="1"/>
  <c r="D38" i="20" s="1"/>
  <c r="F47" i="20" a="1"/>
  <c r="F47" i="20" s="1"/>
  <c r="F44" i="20" a="1"/>
  <c r="F44" i="20" s="1"/>
  <c r="G41" i="20" a="1"/>
  <c r="G41" i="20" s="1"/>
  <c r="H37" i="20" a="1"/>
  <c r="H37" i="20" s="1"/>
  <c r="D37" i="20" a="1"/>
  <c r="D37" i="20" s="1"/>
  <c r="F46" i="20" a="1"/>
  <c r="F46" i="20" s="1"/>
  <c r="F40" i="20" a="1"/>
  <c r="F40" i="20" s="1"/>
  <c r="D43" i="20" a="1"/>
  <c r="D43" i="20" s="1"/>
  <c r="H42" i="20" a="1"/>
  <c r="H42" i="20" s="1"/>
  <c r="D39" i="20" a="1"/>
  <c r="D39" i="20" s="1"/>
  <c r="D44" i="20" a="1"/>
  <c r="D44" i="20" s="1"/>
  <c r="F41" i="20" a="1"/>
  <c r="F41" i="20" s="1"/>
  <c r="G37" i="20" a="1"/>
  <c r="G37" i="20" s="1"/>
  <c r="D47" i="20" a="1"/>
  <c r="D47" i="20" s="1"/>
  <c r="F37" i="20" a="1"/>
  <c r="F37" i="20" s="1"/>
  <c r="H46" i="20" a="1"/>
  <c r="H46" i="20" s="1"/>
  <c r="H43" i="20" a="1"/>
  <c r="H43" i="20" s="1"/>
  <c r="D41" i="20" a="1"/>
  <c r="D41" i="20" s="1"/>
  <c r="G46" i="20" a="1"/>
  <c r="G46" i="20" s="1"/>
  <c r="H40" i="20" a="1"/>
  <c r="H40" i="20" s="1"/>
  <c r="G40" i="20" a="1"/>
  <c r="G40" i="20" s="1"/>
  <c r="F43" i="20" a="1"/>
  <c r="F43" i="20" s="1"/>
  <c r="F36" i="20" a="1"/>
  <c r="F36" i="20" s="1"/>
  <c r="D36" i="20" a="1"/>
  <c r="D36" i="20" s="1"/>
  <c r="F39" i="20" a="1"/>
  <c r="F39" i="20"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<sst xmlns="http://schemas.openxmlformats.org/spreadsheetml/2006/main" count="4008" uniqueCount="935">
  <si>
    <t>USER GUIDE</t>
  </si>
  <si>
    <t xml:space="preserve">These cells contain dropdown menus where the user can select NHS Trust and Data Quality Metric of interest </t>
  </si>
  <si>
    <t>Acronym</t>
  </si>
  <si>
    <t>Description</t>
  </si>
  <si>
    <t>IMD</t>
  </si>
  <si>
    <t>Index of Multiple Deprivation</t>
  </si>
  <si>
    <t>PS</t>
  </si>
  <si>
    <t>Performance status</t>
  </si>
  <si>
    <t>RCRD</t>
  </si>
  <si>
    <t>TNM</t>
  </si>
  <si>
    <t>TNM staging system, where T refers to primary tumor, N refers to regional lymph nodes and M refers to distant metastasis</t>
  </si>
  <si>
    <t>The Royal College of Surgeons of England is an independent professional body committed to enabling surgeons to achieve and maintain the highest standards of surgical practice and patient care. As part of this it supports Audit and the evaluation of clinical effectiveness for surgery. Registered Charity no: 212808</t>
  </si>
  <si>
    <t>Numerator:</t>
  </si>
  <si>
    <t>Denominator:</t>
  </si>
  <si>
    <t>Please select a NHS TRUST from the dropdown box below:</t>
  </si>
  <si>
    <t>Barnsley Hospital NHS Foundation Trust</t>
  </si>
  <si>
    <t>Data source:</t>
  </si>
  <si>
    <t xml:space="preserve">Data variable: </t>
  </si>
  <si>
    <t>Please select a DATA QUALITY metric from the dropdown box below:</t>
  </si>
  <si>
    <t>Data completeness for Morphology (among all patients)</t>
  </si>
  <si>
    <t>Target (%):</t>
  </si>
  <si>
    <t>Data quality metrics are reported as proportion complete and are calculated by dividing a numerator by a denominator, the definitions of which can be found to the right</t>
  </si>
  <si>
    <t>Time period over which data completeness evaluated:</t>
  </si>
  <si>
    <t>Denominator (N)</t>
  </si>
  <si>
    <t>Proportion complete (%)</t>
  </si>
  <si>
    <t>NATIONAL RESULTS</t>
  </si>
  <si>
    <t>NA</t>
  </si>
  <si>
    <t>NA: not applicable</t>
  </si>
  <si>
    <t>Trust name</t>
  </si>
  <si>
    <t>Airedale NHS Foundation Trust</t>
  </si>
  <si>
    <t>Missing data:</t>
  </si>
  <si>
    <t>Notes for figure above</t>
  </si>
  <si>
    <t xml:space="preserve"> </t>
  </si>
  <si>
    <t>PATIENT CHARACTERISTIC</t>
  </si>
  <si>
    <t>TRUST</t>
  </si>
  <si>
    <t>CANCER ALLIANCE</t>
  </si>
  <si>
    <t>NATIONAL</t>
  </si>
  <si>
    <t>Number 
(% among known)</t>
  </si>
  <si>
    <t>SMOKING STATUS</t>
  </si>
  <si>
    <t>Never smoked</t>
  </si>
  <si>
    <t>Current / Ex-smoker</t>
  </si>
  <si>
    <t>Unknown</t>
  </si>
  <si>
    <t>ETHNICITY</t>
  </si>
  <si>
    <t>White</t>
  </si>
  <si>
    <t>Mixed</t>
  </si>
  <si>
    <t>Asian/Asian British</t>
  </si>
  <si>
    <t>Black/Black British</t>
  </si>
  <si>
    <t>Other</t>
  </si>
  <si>
    <t>INDEX OF MULTIPLE DEPRIVATION QUINTILE</t>
  </si>
  <si>
    <t>1 (most deprived)</t>
  </si>
  <si>
    <t>5 (least deprived)</t>
  </si>
  <si>
    <t>TYPE OF LUNG CANCER</t>
  </si>
  <si>
    <t>Non-small cell</t>
  </si>
  <si>
    <t>Small cell</t>
  </si>
  <si>
    <t>Carcinoid</t>
  </si>
  <si>
    <t>Not assessed (NSCLC)</t>
  </si>
  <si>
    <t>STAGE AT DIAGNOSIS</t>
  </si>
  <si>
    <t>Stage I</t>
  </si>
  <si>
    <t>Stage II</t>
  </si>
  <si>
    <t>Stage IIIA</t>
  </si>
  <si>
    <t>Stage IIIB/C</t>
  </si>
  <si>
    <t>Stage IV</t>
  </si>
  <si>
    <t>PERFORMANCE STATUS</t>
  </si>
  <si>
    <t>This sheet links user selection on the dashboard with codes etc required to query data sheets and return values to dashboard</t>
  </si>
  <si>
    <t>SELECTED TRUST:</t>
  </si>
  <si>
    <t>Used in dashboard presenting cross sectional data</t>
  </si>
  <si>
    <t>cell name:</t>
  </si>
  <si>
    <t>selected_trust_xc</t>
  </si>
  <si>
    <t>selected_trust_xc_code</t>
  </si>
  <si>
    <t>selected_trust_xc_ca_name</t>
  </si>
  <si>
    <t>selected_trust_xc_ca_code</t>
  </si>
  <si>
    <t>n_trusts_in_CA</t>
  </si>
  <si>
    <t>cell value:</t>
  </si>
  <si>
    <t>Used in dashboard presenting longitudinal data</t>
  </si>
  <si>
    <t>selected_trust_l</t>
  </si>
  <si>
    <t>selected_trust_l_code</t>
  </si>
  <si>
    <t>selected_trust_l_ca_name</t>
  </si>
  <si>
    <t>selected_trust_l_ca_code</t>
  </si>
  <si>
    <t>Used in dashboard presenting patient characteristics</t>
  </si>
  <si>
    <t>selected_trust_ptc</t>
  </si>
  <si>
    <t>selected_trust_ptc_code</t>
  </si>
  <si>
    <t>selected_trust_ptc_ca_name</t>
  </si>
  <si>
    <t>selected_trust_ptc_ca_code</t>
  </si>
  <si>
    <t>SELECTED DATA QUALITY DOMAIN:</t>
  </si>
  <si>
    <t>selected_dq_descr_xc</t>
  </si>
  <si>
    <t>selected_dq_name_xc</t>
  </si>
  <si>
    <t>selected_dq_target_xc</t>
  </si>
  <si>
    <t>selected_dq_denom_xc</t>
  </si>
  <si>
    <t>selected_dq_num_xc</t>
  </si>
  <si>
    <t>selected_dq_denomdescr_xc</t>
  </si>
  <si>
    <t>selected_dq_datasource_xc</t>
  </si>
  <si>
    <t>selected_dq_datavar_xc</t>
  </si>
  <si>
    <t>selected_dq_time_xc</t>
  </si>
  <si>
    <t>selected_dq_descr_l</t>
  </si>
  <si>
    <t>selected_dq_name_l</t>
  </si>
  <si>
    <t>selected_dq_target_l</t>
  </si>
  <si>
    <t>selected_dq_denom_l</t>
  </si>
  <si>
    <t>selected_dq_num_l</t>
  </si>
  <si>
    <t>selected_dq_denomdescr_l</t>
  </si>
  <si>
    <t>selected_dq_datasource_l</t>
  </si>
  <si>
    <t>selected_dq_datavar_l</t>
  </si>
  <si>
    <t>selected_dq_time_l</t>
  </si>
  <si>
    <t>BAR CHART - DATA QUALITY</t>
  </si>
  <si>
    <t>bar_chart_dq_selected_trust_Xaxis</t>
  </si>
  <si>
    <t>bar_chart_dq_selected_trust_Yaxis</t>
  </si>
  <si>
    <t>bar_chart_dq_target_Xaxis</t>
  </si>
  <si>
    <t>bar_chart_dq_target_Yaxis</t>
  </si>
  <si>
    <t>Table 1: outlines how data are drawn from backend worksheets containing data for each indicator and restructured to format required to produce time series figure on dashboard</t>
  </si>
  <si>
    <t>time_period</t>
  </si>
  <si>
    <t>year</t>
  </si>
  <si>
    <t>quarter</t>
  </si>
  <si>
    <t>denominator</t>
  </si>
  <si>
    <t>counter1</t>
  </si>
  <si>
    <t>counter2</t>
  </si>
  <si>
    <t>counter3</t>
  </si>
  <si>
    <t>counter4</t>
  </si>
  <si>
    <t>counter5</t>
  </si>
  <si>
    <t>counter6</t>
  </si>
  <si>
    <t>counter7</t>
  </si>
  <si>
    <t>counter8</t>
  </si>
  <si>
    <t>counter9</t>
  </si>
  <si>
    <t>counter10</t>
  </si>
  <si>
    <t>counter11</t>
  </si>
  <si>
    <t>counter12</t>
  </si>
  <si>
    <t>value</t>
  </si>
  <si>
    <t>pact1</t>
  </si>
  <si>
    <t>pact2</t>
  </si>
  <si>
    <t>pact3</t>
  </si>
  <si>
    <t>pact4</t>
  </si>
  <si>
    <t>pact5</t>
  </si>
  <si>
    <t>pact6</t>
  </si>
  <si>
    <t>pact7</t>
  </si>
  <si>
    <t>pact8</t>
  </si>
  <si>
    <t>pact9</t>
  </si>
  <si>
    <t>pact10</t>
  </si>
  <si>
    <t>pact11</t>
  </si>
  <si>
    <t>pact12</t>
  </si>
  <si>
    <t>moving_averge</t>
  </si>
  <si>
    <t>mav1</t>
  </si>
  <si>
    <t>mav2</t>
  </si>
  <si>
    <t>mav3</t>
  </si>
  <si>
    <t>mav4</t>
  </si>
  <si>
    <t>mav5</t>
  </si>
  <si>
    <t>mav6</t>
  </si>
  <si>
    <t>mav7</t>
  </si>
  <si>
    <t>mav8</t>
  </si>
  <si>
    <t>mav9</t>
  </si>
  <si>
    <t>mav10</t>
  </si>
  <si>
    <t>mav11</t>
  </si>
  <si>
    <t>mav12</t>
  </si>
  <si>
    <t>Table 2: pulls data from worksheet containing data related to indicator selected by user on dashboard dropdown</t>
  </si>
  <si>
    <t>counter</t>
  </si>
  <si>
    <t>pact</t>
  </si>
  <si>
    <t>mav</t>
  </si>
  <si>
    <t xml:space="preserve">Target: </t>
  </si>
  <si>
    <t>Table 3: data in this table is used for plotting figure on dashboard (NA enables missing data to be plotted as blank spaces rather than 0 on figure)</t>
  </si>
  <si>
    <t xml:space="preserve">Column A in this table links to checkbox on dashbaord to display/hide data series (feature removed in July 2023 quarterly publication)      </t>
  </si>
  <si>
    <t>Denominator (right axis)</t>
  </si>
  <si>
    <t>Target (left axis)</t>
  </si>
  <si>
    <t>KEY</t>
  </si>
  <si>
    <t>dropdown lists on dashboards</t>
  </si>
  <si>
    <t>dynamic text for front end worksheets</t>
  </si>
  <si>
    <t>Table containing features of data quality metrics presented on the dashboard</t>
  </si>
  <si>
    <t>Note: to include additional data quality metrics in the longitudinal dashboard, add new worksheets with data structured as outlined in worksheet called "stage_p" and ensure names of new worksheets matches those listed in column B (column header: dq_name) in table below</t>
  </si>
  <si>
    <t>range name:</t>
  </si>
  <si>
    <t>dq_cell_ref_table</t>
  </si>
  <si>
    <t>dq_cell_ref_matrix</t>
  </si>
  <si>
    <t>dq_cell_ref_col_names</t>
  </si>
  <si>
    <t>dq_cell_ref_row_names</t>
  </si>
  <si>
    <t>range value:</t>
  </si>
  <si>
    <t>dq_descr</t>
  </si>
  <si>
    <t>dq_name</t>
  </si>
  <si>
    <t>dq_demon</t>
  </si>
  <si>
    <t>basis_p</t>
  </si>
  <si>
    <t>n</t>
  </si>
  <si>
    <t>cns_p</t>
  </si>
  <si>
    <t>ethnicity_p</t>
  </si>
  <si>
    <t>imd_p</t>
  </si>
  <si>
    <t>morph_p</t>
  </si>
  <si>
    <t>ps_p</t>
  </si>
  <si>
    <t>route_p</t>
  </si>
  <si>
    <t>smoke_p</t>
  </si>
  <si>
    <t>stage_p</t>
  </si>
  <si>
    <t>Table containing cell references for back end data</t>
  </si>
  <si>
    <t>description:</t>
  </si>
  <si>
    <t>Cross section data quality worksheet - cell ref matrix</t>
  </si>
  <si>
    <t>trust_data_quality!$A$2:$S$127</t>
  </si>
  <si>
    <t>trust_dq_table</t>
  </si>
  <si>
    <t>description</t>
  </si>
  <si>
    <t xml:space="preserve">cell value: </t>
  </si>
  <si>
    <t>Cross section data quality - cell ref row names</t>
  </si>
  <si>
    <t>trust_data_quality!$A$2:$A$127</t>
  </si>
  <si>
    <t>trust_dq_rows</t>
  </si>
  <si>
    <t>denominator value at which data considered missing:</t>
  </si>
  <si>
    <t>denom_missing</t>
  </si>
  <si>
    <t>Cross section data quality worksheet - cell ref col names</t>
  </si>
  <si>
    <t>trust_data_quality!$A$1:$S$1</t>
  </si>
  <si>
    <t>trust_dq_cols</t>
  </si>
  <si>
    <t xml:space="preserve">named cells used within worksheet called "data_staging_longitudinal"; replace missing data with: </t>
  </si>
  <si>
    <t>label_not_available</t>
  </si>
  <si>
    <t>aliance_data_quality!$A$2:$Q$22</t>
  </si>
  <si>
    <t>aliance_dq_table</t>
  </si>
  <si>
    <t>named cells used within worksheet called "data_staging_longitudinal"; Longitudinal data quality worksheet - cell ref matrix</t>
  </si>
  <si>
    <t>indic_cell_ref_matrix</t>
  </si>
  <si>
    <t>aliance_data_quality!$A$2:$A$22</t>
  </si>
  <si>
    <t>aliance_dq_rows</t>
  </si>
  <si>
    <t>named cells used within worksheet called "data_staging_longitudinal"; Longitudinal data quality - cell ref col names</t>
  </si>
  <si>
    <t>indic_cell_ref_col_names</t>
  </si>
  <si>
    <t>aliance_data_quality!$A$1:$Q$1</t>
  </si>
  <si>
    <t>aliance_dq_cols</t>
  </si>
  <si>
    <t>named cells used within worksheet called "data_staging_longitudinal"; Longitudinal data quality - cell ref row names</t>
  </si>
  <si>
    <t>!A1:A127</t>
  </si>
  <si>
    <t>indic_cell_ref_row_names</t>
  </si>
  <si>
    <t>national_data_quality!$A$1:$P$2</t>
  </si>
  <si>
    <t>national_dq_table</t>
  </si>
  <si>
    <t>national_data_quality!$A$1:$P$1</t>
  </si>
  <si>
    <t>national_dq_cols</t>
  </si>
  <si>
    <t>Patient characteristic data quality worksheet - cell ref matrix</t>
  </si>
  <si>
    <t>trust_patient_char!$A$2:$BF$127</t>
  </si>
  <si>
    <t>trust_ptc_table</t>
  </si>
  <si>
    <t>Patient characteristic data quality - cell ref row names</t>
  </si>
  <si>
    <t>trust_patient_char!$B$2:$B$127</t>
  </si>
  <si>
    <t>trust_ptc_rows</t>
  </si>
  <si>
    <t>Patient characteristicdata quality worksheet - cell ref col names</t>
  </si>
  <si>
    <t>trust_patient_char!$A$1:$BF$1</t>
  </si>
  <si>
    <t>trust_ptc_cols</t>
  </si>
  <si>
    <t>aliance_patient_chars!$A$2:$BF$22</t>
  </si>
  <si>
    <t>aliance_ptc_table</t>
  </si>
  <si>
    <t>Patient characteristic data quality worksheet - cell ref col names</t>
  </si>
  <si>
    <t>aliance_patient_chars!$A$1:$BF$1</t>
  </si>
  <si>
    <t>aliance_ptc_cols</t>
  </si>
  <si>
    <t>aliance_patient_chars!$B$2:$B$22</t>
  </si>
  <si>
    <t>aliance_ptc_rows</t>
  </si>
  <si>
    <t>national_patient_chars!$A$2:$BE$2</t>
  </si>
  <si>
    <t>national_ptc_row</t>
  </si>
  <si>
    <t>national_patient_chars!$A$1:$BE$1</t>
  </si>
  <si>
    <t>national_ptc_cols</t>
  </si>
  <si>
    <t>Time periods that this data viewer spans:</t>
  </si>
  <si>
    <t>start_date_england</t>
  </si>
  <si>
    <t>end_date_england</t>
  </si>
  <si>
    <t>publication_year</t>
  </si>
  <si>
    <t>publication_quarter</t>
  </si>
  <si>
    <t>Labels for x axis of figure on dashboard:</t>
  </si>
  <si>
    <t xml:space="preserve">range name: </t>
  </si>
  <si>
    <t>Figure_Xaxis_labels</t>
  </si>
  <si>
    <t>Q2</t>
  </si>
  <si>
    <t>Q3</t>
  </si>
  <si>
    <t>Q4</t>
  </si>
  <si>
    <t>Q1</t>
  </si>
  <si>
    <t>Count of trusts and CA:</t>
  </si>
  <si>
    <t>n_trusts</t>
  </si>
  <si>
    <t>n_ca</t>
  </si>
  <si>
    <t>List of trusts, mapped to their cancer alliance - trust names listed alphabetically, so users can easlity find their trust of interest in the dropdwon menu</t>
  </si>
  <si>
    <t>Number of trusts per cancer aliance - used to ensure length of table 2 (see worksheet "Dashbaord-cross section") is sufficient to list all trusts within the largest cancer alliance - generated using pivot table - will need updating if table containing list of trusts changes</t>
  </si>
  <si>
    <t>source of trust lists: "W:\_DATA\NLCA\2022 Annual Report\Tables\Indicators.xls" updated by AC 31may2023</t>
  </si>
  <si>
    <t>table_trust_ca_assoc</t>
  </si>
  <si>
    <t>trusts_per_CA</t>
  </si>
  <si>
    <t>Lists!F62:G83</t>
  </si>
  <si>
    <t>trust_name</t>
  </si>
  <si>
    <t>trust_code</t>
  </si>
  <si>
    <t>alliance_name</t>
  </si>
  <si>
    <t>alliance_code</t>
  </si>
  <si>
    <t>RCF</t>
  </si>
  <si>
    <t>West Yorkshire and Harrogate</t>
  </si>
  <si>
    <t>A19</t>
  </si>
  <si>
    <t>Cheshire and Merseyside</t>
  </si>
  <si>
    <t>Ashford and St Peter's Hospitals NHS Foundation Trust</t>
  </si>
  <si>
    <t>RTK</t>
  </si>
  <si>
    <t>Surrey and Sussex</t>
  </si>
  <si>
    <t>A14</t>
  </si>
  <si>
    <t>East Midlands</t>
  </si>
  <si>
    <t>Barking, Havering and Redbridge University Hospitals NHS Trust</t>
  </si>
  <si>
    <t>RF4</t>
  </si>
  <si>
    <t>North East London</t>
  </si>
  <si>
    <t>A08b</t>
  </si>
  <si>
    <t>East of England - North</t>
  </si>
  <si>
    <t>RFF</t>
  </si>
  <si>
    <t>South Yorkshire and Bassetlaw</t>
  </si>
  <si>
    <t>A13</t>
  </si>
  <si>
    <t>East of England - South</t>
  </si>
  <si>
    <t>Barts Health NHS Trust</t>
  </si>
  <si>
    <t>R1H</t>
  </si>
  <si>
    <t>Greater Manchester</t>
  </si>
  <si>
    <t>Bedfordshire Hospitals NHS Foundation Trust</t>
  </si>
  <si>
    <t>RC9</t>
  </si>
  <si>
    <t>A03b</t>
  </si>
  <si>
    <t>Humber, Coast and Vale</t>
  </si>
  <si>
    <t>Blackpool Teaching Hospitals NHS Foundation Trust</t>
  </si>
  <si>
    <t>RXL</t>
  </si>
  <si>
    <t>Lancashire and South Cumbria</t>
  </si>
  <si>
    <t>A07</t>
  </si>
  <si>
    <t>Kent and Medway</t>
  </si>
  <si>
    <t>Bolton NHS Foundation Trust</t>
  </si>
  <si>
    <t>RMC</t>
  </si>
  <si>
    <t>A04</t>
  </si>
  <si>
    <t>Bradford Teaching Hospitals NHS Foundation Trust</t>
  </si>
  <si>
    <t>RAE</t>
  </si>
  <si>
    <t>North Central London</t>
  </si>
  <si>
    <t>Buckinghamshire Healthcare NHS Trust</t>
  </si>
  <si>
    <t>RXQ</t>
  </si>
  <si>
    <t>Thames Valley</t>
  </si>
  <si>
    <t>A15</t>
  </si>
  <si>
    <t>Calderdale And Huddersfield NHS Foundation Trust</t>
  </si>
  <si>
    <t>RWY</t>
  </si>
  <si>
    <t>Northern</t>
  </si>
  <si>
    <t>Cambridge University Hospitals NHS Foundation Trust</t>
  </si>
  <si>
    <t>RGT</t>
  </si>
  <si>
    <t>A03a</t>
  </si>
  <si>
    <t>Peninsula</t>
  </si>
  <si>
    <t>Chelsea and Westminster Hospital NHS Foundation Trust</t>
  </si>
  <si>
    <t>RQM</t>
  </si>
  <si>
    <t>RM Partners</t>
  </si>
  <si>
    <t>A17</t>
  </si>
  <si>
    <t>Chesterfield Royal Hospital NHS Foundation Trust</t>
  </si>
  <si>
    <t>RFS</t>
  </si>
  <si>
    <t>A02</t>
  </si>
  <si>
    <t>Somerset, Wiltshire, Avon &amp; Gloucestershire</t>
  </si>
  <si>
    <t>Countess of Chester Hospital NHS Foundation Trust</t>
  </si>
  <si>
    <t>RJR</t>
  </si>
  <si>
    <t>A01</t>
  </si>
  <si>
    <t>South East London</t>
  </si>
  <si>
    <t>County Durham and Darlington NHS Foundation Trust</t>
  </si>
  <si>
    <t>RXP</t>
  </si>
  <si>
    <t>A09</t>
  </si>
  <si>
    <t>Croydon Health Services NHS Trust</t>
  </si>
  <si>
    <t>RJ6</t>
  </si>
  <si>
    <t>Dartford and Gravesham NHS Trust</t>
  </si>
  <si>
    <t>RN7</t>
  </si>
  <si>
    <t>A06</t>
  </si>
  <si>
    <t>Doncaster and Bassetlaw Teaching Hospitals NHS Foundation Trust</t>
  </si>
  <si>
    <t>RP5</t>
  </si>
  <si>
    <t>Wessex</t>
  </si>
  <si>
    <t>Dorset County Hospital NHS Foundation Trust</t>
  </si>
  <si>
    <t>RBD</t>
  </si>
  <si>
    <t>A16</t>
  </si>
  <si>
    <t>West Midlands</t>
  </si>
  <si>
    <t>East and North Hertfordshire NHS Trust</t>
  </si>
  <si>
    <t>RWH</t>
  </si>
  <si>
    <t>East Cheshire NHS Trust</t>
  </si>
  <si>
    <t>RJN</t>
  </si>
  <si>
    <t>East Kent Hospitals University NHS Foundation Trust</t>
  </si>
  <si>
    <t>RVV</t>
  </si>
  <si>
    <t>East Lancashire Hospitals NHS Trust</t>
  </si>
  <si>
    <t>RXR</t>
  </si>
  <si>
    <t xml:space="preserve">Max number of trusts per CA: </t>
  </si>
  <si>
    <t>East Suffolk and North Essex NHS Foundation Trust</t>
  </si>
  <si>
    <t>RDE</t>
  </si>
  <si>
    <t>East Sussex Healthcare NHS Trust</t>
  </si>
  <si>
    <t>RXC</t>
  </si>
  <si>
    <t>Epsom And St Helier University Hospitals NHS Trust</t>
  </si>
  <si>
    <t>RVR</t>
  </si>
  <si>
    <t>Frimley Health NHS Foundation Trust</t>
  </si>
  <si>
    <t>RDU</t>
  </si>
  <si>
    <t>Gateshead Health NHS Foundation Trust</t>
  </si>
  <si>
    <t>RR7</t>
  </si>
  <si>
    <t>George Eliot Hospital NHS Trust</t>
  </si>
  <si>
    <t>RLT</t>
  </si>
  <si>
    <t>A18</t>
  </si>
  <si>
    <t>Gloucestershire Hospitals NHS Foundation Trust</t>
  </si>
  <si>
    <t>RTE</t>
  </si>
  <si>
    <t>A11</t>
  </si>
  <si>
    <t>Great Western Hospitals NHS Foundation Trust</t>
  </si>
  <si>
    <t>RN3</t>
  </si>
  <si>
    <t>Guy's and St Thomas' NHS Foundation Trust</t>
  </si>
  <si>
    <t>RJ1</t>
  </si>
  <si>
    <t>A12</t>
  </si>
  <si>
    <t>Hampshire Hospitals NHS Foundation Trust</t>
  </si>
  <si>
    <t>RN5</t>
  </si>
  <si>
    <t>Harrogate and District NHS Foundation Trust</t>
  </si>
  <si>
    <t>RCD</t>
  </si>
  <si>
    <t>A05</t>
  </si>
  <si>
    <t>Homerton University Hospital NHS Foundation Trust</t>
  </si>
  <si>
    <t>RQX</t>
  </si>
  <si>
    <t>Hull University Teaching Hospitals NHS Trust</t>
  </si>
  <si>
    <t>RWA</t>
  </si>
  <si>
    <t>Imperial College Healthcare NHS Trust</t>
  </si>
  <si>
    <t>RYJ</t>
  </si>
  <si>
    <t>Isle of Wight NHS Trust</t>
  </si>
  <si>
    <t>R1F</t>
  </si>
  <si>
    <t>James Paget University Hospitals NHS Foundation Trust</t>
  </si>
  <si>
    <t>RGP</t>
  </si>
  <si>
    <t>Kettering General Hospital NHS Foundation Trust</t>
  </si>
  <si>
    <t>RNQ</t>
  </si>
  <si>
    <t>King's College Hospital NHS Foundation Trust</t>
  </si>
  <si>
    <t>RJZ</t>
  </si>
  <si>
    <t>Kingston Hospital NHS Foundation Trust</t>
  </si>
  <si>
    <t>RAX</t>
  </si>
  <si>
    <t>Lancashire Teaching Hospitals NHS Foundation Trust</t>
  </si>
  <si>
    <t>RXN</t>
  </si>
  <si>
    <t>Leeds Teaching Hospitals NHS Trust</t>
  </si>
  <si>
    <t>RR8</t>
  </si>
  <si>
    <t>Lewisham and Greenwich NHS Trust</t>
  </si>
  <si>
    <t>RJ2</t>
  </si>
  <si>
    <t>Liverpool Heart and Chest Hospital NHS Foundation Trust</t>
  </si>
  <si>
    <t>RBQ</t>
  </si>
  <si>
    <t>Liverpool University Hospitals NHS Foundation Trust</t>
  </si>
  <si>
    <t>REM</t>
  </si>
  <si>
    <t>London North West Healthcare NHS Trust</t>
  </si>
  <si>
    <t>R1K</t>
  </si>
  <si>
    <t>Maidstone and Tunbridge Wells NHS Trust</t>
  </si>
  <si>
    <t>RWF</t>
  </si>
  <si>
    <t>Manchester University NHS Foundation Trust</t>
  </si>
  <si>
    <t>R0A</t>
  </si>
  <si>
    <t>Medway NHS Foundation Trust</t>
  </si>
  <si>
    <t>RPA</t>
  </si>
  <si>
    <t>Mid and South Essex NHS Foundation Trust</t>
  </si>
  <si>
    <t>RAJ</t>
  </si>
  <si>
    <t>Mid Cheshire Hospitals NHS Foundation Trust</t>
  </si>
  <si>
    <t>RBT</t>
  </si>
  <si>
    <t>Mid Yorkshire Hospitals NHS Trust</t>
  </si>
  <si>
    <t>RXF</t>
  </si>
  <si>
    <t>Milton Keynes University Hospital NHS Foundation Trust</t>
  </si>
  <si>
    <t>RD8</t>
  </si>
  <si>
    <t>Norfolk and Norwich University Hospitals NHS Foundation Trust</t>
  </si>
  <si>
    <t>RM1</t>
  </si>
  <si>
    <t>North Bristol NHS Trust</t>
  </si>
  <si>
    <t>RVJ</t>
  </si>
  <si>
    <t>North Cumbria Integrated Care NHS Foundation Trust</t>
  </si>
  <si>
    <t>RNN</t>
  </si>
  <si>
    <t>North Middlesex University Hospital NHS Trust</t>
  </si>
  <si>
    <t>RAP</t>
  </si>
  <si>
    <t>A08a</t>
  </si>
  <si>
    <t>North Tees And Hartlepool NHS Foundation Trust</t>
  </si>
  <si>
    <t>RVW</t>
  </si>
  <si>
    <t>North West Anglia NHS Foundation Trust</t>
  </si>
  <si>
    <t>RGN</t>
  </si>
  <si>
    <t>Northampton General Hospital NHS Trust</t>
  </si>
  <si>
    <t>RNS</t>
  </si>
  <si>
    <t>Northern Lincolnshire and Goole NHS Foundation Trust</t>
  </si>
  <si>
    <t>RJL</t>
  </si>
  <si>
    <t>Northumbria Healthcare NHS Foundation Trust</t>
  </si>
  <si>
    <t>RTF</t>
  </si>
  <si>
    <t>Nottingham University Hospitals NHS Trust</t>
  </si>
  <si>
    <t>RX1</t>
  </si>
  <si>
    <t>Oxford University Hospitals NHS Foundation Trust</t>
  </si>
  <si>
    <t>RTH</t>
  </si>
  <si>
    <t>Papworth Hospital NHS Foundation Trust</t>
  </si>
  <si>
    <t>RGM</t>
  </si>
  <si>
    <t>Plymouth Hospitals NHS Trust</t>
  </si>
  <si>
    <t>RK9</t>
  </si>
  <si>
    <t>A10</t>
  </si>
  <si>
    <t>Portsmouth Hospitals NHS Trust</t>
  </si>
  <si>
    <t>RHU</t>
  </si>
  <si>
    <t>Royal Berkshire NHS Foundation Trust</t>
  </si>
  <si>
    <t>RHW</t>
  </si>
  <si>
    <t>Royal Cornwall Hospitals NHS Trust</t>
  </si>
  <si>
    <t>REF</t>
  </si>
  <si>
    <t>Royal Devon and Exeter NHS Foundation Trust</t>
  </si>
  <si>
    <t>RH8</t>
  </si>
  <si>
    <t>Royal Free London NHS Foundation Trust</t>
  </si>
  <si>
    <t>RAL</t>
  </si>
  <si>
    <t>Royal Surrey County Hospital NHS Foundation Trust</t>
  </si>
  <si>
    <t>RA2</t>
  </si>
  <si>
    <t>Royal United Hospital Bath NHS Foundation Trust</t>
  </si>
  <si>
    <t>RD1</t>
  </si>
  <si>
    <t>Salford Royal NHS Foundation Trust</t>
  </si>
  <si>
    <t>RM3</t>
  </si>
  <si>
    <t>Salisbury NHS Foundation Trust</t>
  </si>
  <si>
    <t>RNZ</t>
  </si>
  <si>
    <t>Sandwell and West Birmingham Hospitals NHS Trust</t>
  </si>
  <si>
    <t>RXK</t>
  </si>
  <si>
    <t>Sheffield Teaching Hospitals NHS Foundation Trust</t>
  </si>
  <si>
    <t>RHQ</t>
  </si>
  <si>
    <t>Sherwood Forest Hospitals NHS Foundation Trust</t>
  </si>
  <si>
    <t>RK5</t>
  </si>
  <si>
    <t>Shrewsbury and Telford Hospital NHS Trust</t>
  </si>
  <si>
    <t>RXW</t>
  </si>
  <si>
    <t>Somerset NHS Foundation Trust</t>
  </si>
  <si>
    <t>RH5</t>
  </si>
  <si>
    <t>South Tees Hospitals NHS Foundation Trust</t>
  </si>
  <si>
    <t>RTR</t>
  </si>
  <si>
    <t>South Tyneside and Sunderland NHS Foundation Trust</t>
  </si>
  <si>
    <t>R0B</t>
  </si>
  <si>
    <t>South Warwickshire NHS Foundation Trust</t>
  </si>
  <si>
    <t>RJC</t>
  </si>
  <si>
    <t>Southport and Ormskirk Hospital NHS Trust</t>
  </si>
  <si>
    <t>RVY</t>
  </si>
  <si>
    <t>St George's University Hospitals NHS Foundation Trust</t>
  </si>
  <si>
    <t>RJ7</t>
  </si>
  <si>
    <t>St Helens and Knowsley Hospital Services NHS Trust</t>
  </si>
  <si>
    <t>RBN</t>
  </si>
  <si>
    <t>Stockport NHS Foundation Trust</t>
  </si>
  <si>
    <t>RWJ</t>
  </si>
  <si>
    <t>Surrey and Sussex Healthcare NHS Trust</t>
  </si>
  <si>
    <t>RTP</t>
  </si>
  <si>
    <t>Tameside and Glossop Integrated Care NHS Foundation Trust</t>
  </si>
  <si>
    <t>RMP</t>
  </si>
  <si>
    <t>The Christie NHS Foundation Trust</t>
  </si>
  <si>
    <t>RBV</t>
  </si>
  <si>
    <t>The Clatterbridge Cancer Centre NHS Foundation Trust</t>
  </si>
  <si>
    <t>REN</t>
  </si>
  <si>
    <t>The Dudley Group NHS Foundation Trust</t>
  </si>
  <si>
    <t>RNA</t>
  </si>
  <si>
    <t>The Hillingdon Hospitals NHS Foundation Trust</t>
  </si>
  <si>
    <t>RAS</t>
  </si>
  <si>
    <t>The Newcastle upon Tyne Hospitals NHS Foundation Trust</t>
  </si>
  <si>
    <t>RTD</t>
  </si>
  <si>
    <t>The Princess Alexandra Hospital NHS Trust</t>
  </si>
  <si>
    <t>RQW</t>
  </si>
  <si>
    <t>The Queen Elizabeth Hospital King's Lynn NHS Foundation Trust</t>
  </si>
  <si>
    <t>RCX</t>
  </si>
  <si>
    <t>The Rotherham NHS Foundation Trust</t>
  </si>
  <si>
    <t>RFR</t>
  </si>
  <si>
    <t>The Royal Marsden NHS Foundation Trust</t>
  </si>
  <si>
    <t>RPY</t>
  </si>
  <si>
    <t>The Royal Wolverhampton NHS Trust</t>
  </si>
  <si>
    <t>RL4</t>
  </si>
  <si>
    <t>The Whittington Health NHS Trust</t>
  </si>
  <si>
    <t>RKE</t>
  </si>
  <si>
    <t>Torbay and South Devon NHS Foundation Trust</t>
  </si>
  <si>
    <t>RA9</t>
  </si>
  <si>
    <t>United Lincolnshire Hospitals NHS Trust</t>
  </si>
  <si>
    <t>RWD</t>
  </si>
  <si>
    <t>University College London Hospitals NHS Foundation Trust</t>
  </si>
  <si>
    <t>RRV</t>
  </si>
  <si>
    <t>University Hospital Southampton NHS Foundation Trust</t>
  </si>
  <si>
    <t>RHM</t>
  </si>
  <si>
    <t>University Hospitals Birmingham NHS Foundation Trust</t>
  </si>
  <si>
    <t>RRK</t>
  </si>
  <si>
    <t>University Hospitals Bristol and Weston NHS Foundation Trust</t>
  </si>
  <si>
    <t>RA7</t>
  </si>
  <si>
    <t>University Hospitals Coventry and Warwickshire NHS Trust</t>
  </si>
  <si>
    <t>RKB</t>
  </si>
  <si>
    <t>University Hospitals Dorset NHS Foundation Trust</t>
  </si>
  <si>
    <t>R0D</t>
  </si>
  <si>
    <t>University Hospitals of Derby and Burton NHS Foundation Trust</t>
  </si>
  <si>
    <t>RTG</t>
  </si>
  <si>
    <t>University Hospitals of Leicester NHS Trust</t>
  </si>
  <si>
    <t>RWE</t>
  </si>
  <si>
    <t>University Hospitals of Morecambe Bay NHS Foundation Trust</t>
  </si>
  <si>
    <t>RTX</t>
  </si>
  <si>
    <t>University Hospitals of North Midlands NHS Trust</t>
  </si>
  <si>
    <t>RJE</t>
  </si>
  <si>
    <t>University Hospitals Sussex NHS Foundation Trust</t>
  </si>
  <si>
    <t>RYR</t>
  </si>
  <si>
    <t>Walsall Healthcare NHS Trust</t>
  </si>
  <si>
    <t>RBK</t>
  </si>
  <si>
    <t>Warrington and Halton Hospitals NHS Foundation Trust</t>
  </si>
  <si>
    <t>RWW</t>
  </si>
  <si>
    <t>West Hertfordshire Hospitals NHS Trust</t>
  </si>
  <si>
    <t>RWG</t>
  </si>
  <si>
    <t>West Suffolk NHS Foundation Trust</t>
  </si>
  <si>
    <t>RGR</t>
  </si>
  <si>
    <t>Wirral University Teaching Hospital NHS Foundation Trust</t>
  </si>
  <si>
    <t>RBL</t>
  </si>
  <si>
    <t>Worcestershire Acute Hospitals NHS Trust</t>
  </si>
  <si>
    <t>RWP</t>
  </si>
  <si>
    <t>Wrightington, Wigan and Leigh NHS Foundation Trust</t>
  </si>
  <si>
    <t>RRF</t>
  </si>
  <si>
    <t>Wye Valley NHS Trust</t>
  </si>
  <si>
    <t>RLQ</t>
  </si>
  <si>
    <t>Yeovil District Hospital NHS Foundation Trust</t>
  </si>
  <si>
    <t>RA4</t>
  </si>
  <si>
    <t>York Teaching Hospital NHS Foundation Trust</t>
  </si>
  <si>
    <t>RCB</t>
  </si>
  <si>
    <t>Version</t>
  </si>
  <si>
    <t>Changes</t>
  </si>
  <si>
    <t>Author</t>
  </si>
  <si>
    <t>v0.1</t>
  </si>
  <si>
    <t>• used following NLCA SOTN data viewer file as template: NLCA-data-viewer_SotN-report-2023_update_for_publication_20july2023_without_password_protection
• added time series figure from following NLCA quarterly report to NLCA SOTN above to develop v0.1: NLCA_data_viewer_Q4_2023_v1_FOR_PUBLICATION_without_password_protection</t>
  </si>
  <si>
    <t>Ella Barber</t>
  </si>
  <si>
    <t>v0.2</t>
  </si>
  <si>
    <t>removed indicators, so only data quality metrics remain</t>
  </si>
  <si>
    <t>v0.3</t>
  </si>
  <si>
    <t>presented at NATCAN data meeting 05feb2024 for feedback</t>
  </si>
  <si>
    <t>v0.4</t>
  </si>
  <si>
    <t xml:space="preserve">• separated pt chars, cross sectional and longitudinal data presentation into separate dashboards; 
• consolidated lists to be updated into one worksheet ("data_quality_list"); 
• made dates displayed in table/figure legends and intro/acknowlegement worksheets dynamic, so that only need to update in one place in workbook (see data_quality_lists worksheet; </t>
  </si>
  <si>
    <t>v0.5</t>
  </si>
  <si>
    <t>presented at NATCAN data meeting 12feb2024 for feedback</t>
  </si>
  <si>
    <t>v0.6</t>
  </si>
  <si>
    <t>• renamed worksheets ("data_quality_lists -&gt; "Lists"; "data_staging" -&gt; "data_staging_longitudinal"; 
• updated links to ensure scope of dropdown selections are limited to worksheet on which they are found; 
• changed rank, so 1=highest completeness; updated conditional formating in backend sheets with rank
• added total number of trusts/CA to rank header in table 1 and 2 on cross section dashboard; 
• added "adaptation notes" worksheet, to help guide other audits in adapting this template
• corrected alliance spelling in patient characteristics dashboard
• added conditional formating to proportion values in tables 1 and 2 on cross section dashboard
• colour of ranked bar updated to match colour used for NLCA logo, as done for time series plot
• merged patient characteristics into one table, rather than split across two tables (landscape legacy from prev data NLCA viewer)</t>
  </si>
  <si>
    <t>v0.7</t>
  </si>
  <si>
    <t>• incorporated named cell ranges into formulae on dashboards, to make easier to update via lists worksheet
• converted all proportion data to be on range 0-1, then applied percentage number formating to figures and tables</t>
  </si>
  <si>
    <t>v0.8</t>
  </si>
  <si>
    <t>•  shared with NATCAN for reivew and feedback - Verity to add text prepared for intro and acknowlegements worksheets</t>
  </si>
  <si>
    <t>To Do</t>
  </si>
  <si>
    <t>KW to provide generic text, relevant for new audits, to update introduction worksheet</t>
  </si>
  <si>
    <t xml:space="preserve">In order to pair back trust references in backend data sheets (XC data) to just be trust code, to ensure trust names &amp;associated CA only found in "Lists" worksheet and ensure updates only required in one place, need to edit formulae in dashboard -see table 2 on XC dashboard) </t>
  </si>
  <si>
    <t xml:space="preserve">cell ranges referenced directly in table 2 on XC dashboard may need to be edited when template is adapted - need to incorporate named ranges into formulae used within that table </t>
  </si>
  <si>
    <t>Key for worksheet colours:</t>
  </si>
  <si>
    <t>Front end worksheets (user-facing)</t>
  </si>
  <si>
    <t>Back end worksheets - contains formulae to link front-end and back-end worksheets</t>
  </si>
  <si>
    <t>Back end worksheets - contains data for dashboard displaying longitudinal data quality</t>
  </si>
  <si>
    <t>Back end worksheets - contains data for dashbaord displaying patient characteristics</t>
  </si>
  <si>
    <t>Back end worksheets - contains data for dashboard presenting cross section data quality</t>
  </si>
  <si>
    <t>Back end worksheets - developer notes</t>
  </si>
  <si>
    <t xml:space="preserve">In the backend worksheets containing the data to be displayed (numbered 3,4 and 5 above), cells are highlighted yellow to indicate where new data is to be pasted </t>
  </si>
  <si>
    <t>In the backend worksheets containing formulae that link front-end and back-end worksheets (numbered 2 above), cells are highlighted yellow to indicate where contents need reviewing as part of any update and may need updating to meet the needs of any adaptation</t>
  </si>
  <si>
    <t>To include additional data quality metrics in the longitudinal dashboard, add new worksheets with data structured as outlined in worksheet called "stage_p" and ensure names of new worksheets matches those listed in column B (column header: dq_name) in first table on worksheet called "lists"</t>
  </si>
  <si>
    <t>This template is built to work with data quality metrics that are measured as proportion of COMPLETE data, which should be measured as a proportion on the scale 0 to 1</t>
  </si>
  <si>
    <t>trust_code_quarterly</t>
  </si>
  <si>
    <t>trust_code_SOTN</t>
  </si>
  <si>
    <t>match?</t>
  </si>
  <si>
    <t xml:space="preserve">sum match: </t>
  </si>
  <si>
    <t>n2</t>
  </si>
  <si>
    <t>morph2_p</t>
  </si>
  <si>
    <t>COLUMNS TO LEFT FOR STATA OUTPUT - COLUMNS TO RIGHT FOR POPULATING DASHBOARD</t>
  </si>
  <si>
    <t>selected_indicator_trust_value</t>
  </si>
  <si>
    <t>selected_indicator_trust_rank</t>
  </si>
  <si>
    <t>selected_dq_value</t>
  </si>
  <si>
    <t>selected_dq_rank</t>
  </si>
  <si>
    <t xml:space="preserve">Peninsula </t>
  </si>
  <si>
    <t>name</t>
  </si>
  <si>
    <t>National</t>
  </si>
  <si>
    <t>current_ex</t>
  </si>
  <si>
    <t>never</t>
  </si>
  <si>
    <t>smok_unknown</t>
  </si>
  <si>
    <t>p_current_ex</t>
  </si>
  <si>
    <t>p_never</t>
  </si>
  <si>
    <t>white</t>
  </si>
  <si>
    <t>mixed</t>
  </si>
  <si>
    <t>asian</t>
  </si>
  <si>
    <t>black</t>
  </si>
  <si>
    <t>other</t>
  </si>
  <si>
    <t>ethc_unknown</t>
  </si>
  <si>
    <t>p_white</t>
  </si>
  <si>
    <t>p_mixed</t>
  </si>
  <si>
    <t>p_asian</t>
  </si>
  <si>
    <t>p_black</t>
  </si>
  <si>
    <t>p_other</t>
  </si>
  <si>
    <t>imdleast</t>
  </si>
  <si>
    <t>imd2</t>
  </si>
  <si>
    <t>imd3</t>
  </si>
  <si>
    <t>imd4</t>
  </si>
  <si>
    <t>imdmost</t>
  </si>
  <si>
    <t>p_imdleast</t>
  </si>
  <si>
    <t>p_imd2</t>
  </si>
  <si>
    <t>p_imd3</t>
  </si>
  <si>
    <t>p_imd4</t>
  </si>
  <si>
    <t>p_imdmost</t>
  </si>
  <si>
    <t>sclc</t>
  </si>
  <si>
    <t>carcinoid</t>
  </si>
  <si>
    <t>nsclc</t>
  </si>
  <si>
    <t>not_assessed</t>
  </si>
  <si>
    <t>p_sclc</t>
  </si>
  <si>
    <t>p_carc</t>
  </si>
  <si>
    <t>p_nsclc</t>
  </si>
  <si>
    <t>p_unknown</t>
  </si>
  <si>
    <t>s1</t>
  </si>
  <si>
    <t>s2</t>
  </si>
  <si>
    <t>s3a</t>
  </si>
  <si>
    <t>s3b</t>
  </si>
  <si>
    <t>s4</t>
  </si>
  <si>
    <t>s_unknown</t>
  </si>
  <si>
    <t>p_s1</t>
  </si>
  <si>
    <t>p_s2</t>
  </si>
  <si>
    <t>p_s3a</t>
  </si>
  <si>
    <t>p_s3b</t>
  </si>
  <si>
    <t>p_s4</t>
  </si>
  <si>
    <t>ps0</t>
  </si>
  <si>
    <t>ps1</t>
  </si>
  <si>
    <t>ps2</t>
  </si>
  <si>
    <t>ps3</t>
  </si>
  <si>
    <t>ps4</t>
  </si>
  <si>
    <t>ps_unknown</t>
  </si>
  <si>
    <t>p_ps0</t>
  </si>
  <si>
    <t>p_ps1</t>
  </si>
  <si>
    <t>p_ps2</t>
  </si>
  <si>
    <t>p_ps3</t>
  </si>
  <si>
    <t>p_ps4</t>
  </si>
  <si>
    <t>tnm_p</t>
  </si>
  <si>
    <t>Rapid Cancer Registration Dataset</t>
  </si>
  <si>
    <t>Ethnicity</t>
  </si>
  <si>
    <t>TNM stage</t>
  </si>
  <si>
    <t>Performance Status</t>
  </si>
  <si>
    <t>Dashboard</t>
  </si>
  <si>
    <t>Explanations</t>
  </si>
  <si>
    <t>Table of contents</t>
  </si>
  <si>
    <r>
      <rPr>
        <sz val="11"/>
        <color rgb="FF000000"/>
        <rFont val="Calibri"/>
        <family val="2"/>
        <scheme val="minor"/>
      </rPr>
      <t xml:space="preserve">Please refer to our FAQs for </t>
    </r>
    <r>
      <rPr>
        <u/>
        <sz val="11"/>
        <color rgb="FF000000"/>
        <rFont val="Calibri"/>
        <family val="2"/>
        <scheme val="minor"/>
      </rPr>
      <t>current NDRS regional contacts</t>
    </r>
    <r>
      <rPr>
        <sz val="11"/>
        <color rgb="FF000000"/>
        <rFont val="Calibri"/>
        <family val="2"/>
        <scheme val="minor"/>
      </rPr>
      <t>.</t>
    </r>
  </si>
  <si>
    <t xml:space="preserve">Your local Data Improvement Lead, NDRS, will be able to help you find out information about your Cancer Outcomes Services Dataset (COSD) submissions. </t>
  </si>
  <si>
    <t>National Cancer Registration Dataset</t>
  </si>
  <si>
    <t>NCRD</t>
  </si>
  <si>
    <t>HOW TO INTERPRET THE GRAPH</t>
  </si>
  <si>
    <t>The British Uro-oncology Group (BUG) was formed in 2004 to meet the needs of clinical and medical oncologists specialising in the field of urology. As the only dedicated professional association for uro-oncologists, its overriding aim is to provide a networking and support forum for discussion and exchange of research and policy ideas.</t>
  </si>
  <si>
    <t xml:space="preserve">In partnership with: 
The British Association of Urological Surgeons (BAUS) was founded in 1945 and exists to promote the highest standards of practice in urology, for the benefit of patients, by fostering education, research and clinical excellence. BAUS is a registered charity and qualified medical practitioners practising in the field of urological surgery are eligible to apply for membership. Registered Charity no: 1127044
</t>
  </si>
  <si>
    <t>This work uses data that has been provided by patients and collected by the NHS as part of their care and support, including data that is collated, maintained and quality assured by the National Disease Registration Service, which is part of NHS England. 
Access to the data was facilitated by the NHS England Data Access Request Service.</t>
  </si>
  <si>
    <t>Please note: the total number of people from which the NHS trust figures were derived is less than the total number of people used for the national figures.  This is because not all people had a trust of diagnosis in the RCRD data.</t>
  </si>
  <si>
    <t>MDT</t>
  </si>
  <si>
    <t>Multi-disciplinary Team</t>
  </si>
  <si>
    <t>COSD</t>
  </si>
  <si>
    <t>Cancer Outcomes and Services Dataset</t>
  </si>
  <si>
    <t>USEFUL LINKS</t>
  </si>
  <si>
    <t>INCLUSION CRITERIA</t>
  </si>
  <si>
    <t xml:space="preserve">The moving average is derived from data spanning three consecutive time points; this includes a selected point in the time series, plus the previous and subsequent time points. Each point represents a quarter of a year, Q1 being the first quarter, Q2 the second and so on. </t>
  </si>
  <si>
    <t>Note about tertiary centres:</t>
  </si>
  <si>
    <t>ENG</t>
  </si>
  <si>
    <t>London North West University Healthcare NHS Trust</t>
  </si>
  <si>
    <t>Hillingdon Hospitals NHS Foundation Trust</t>
  </si>
  <si>
    <t>Mersey and West Lancashire Teaching Hospitals NHS Trust</t>
  </si>
  <si>
    <t>Christie NHS Foundation Trust</t>
  </si>
  <si>
    <t>York and Scarborough Teaching Hospitals NHS Foundation Trust</t>
  </si>
  <si>
    <t>Queen Elizabeth Hospital King's Lynn NHS Foundation Trust</t>
  </si>
  <si>
    <t>Royal United Hospitals Bath NHS Foundation Trust</t>
  </si>
  <si>
    <t>Rotherham NHS Foundation Trust</t>
  </si>
  <si>
    <t>Royal Devon University Healthcare NHS Foundation Trust</t>
  </si>
  <si>
    <t>Portsmouth Hospitals University NHS Trust</t>
  </si>
  <si>
    <t>South Warwickshire University NHS Foundation Trust</t>
  </si>
  <si>
    <t>University Hospitals Plymouth NHS Trust</t>
  </si>
  <si>
    <t>Whittington Health NHS Trust</t>
  </si>
  <si>
    <t>Royal Wolverhampton NHS Trust</t>
  </si>
  <si>
    <t>Northern Care Alliance NHS Foundation Trust</t>
  </si>
  <si>
    <t>Dudley Group NHS Foundation Trust</t>
  </si>
  <si>
    <t>Royal Marsden NHS Foundation Trust</t>
  </si>
  <si>
    <t>Princess Alexandra Hospital NHS Trust</t>
  </si>
  <si>
    <t>Homerton Healthcare NHS Foundation Trust</t>
  </si>
  <si>
    <t>Newcastle upon Tyne Hospitals NHS Foundation Trust</t>
  </si>
  <si>
    <t>West Hertfordshire Teaching Hospitals NHS Trust</t>
  </si>
  <si>
    <t>Mid Yorkshire Teaching NHS Trust</t>
  </si>
  <si>
    <t xml:space="preserve"> ENGLAND</t>
  </si>
  <si>
    <r>
      <rPr>
        <sz val="11"/>
        <rFont val="Calibri"/>
        <family val="2"/>
        <scheme val="minor"/>
      </rPr>
      <t xml:space="preserve">The National Cancer Audit Collaborating Centre (NATCAN) is commissioned by the Healthcare Quality Improvement Partnership (HQIP) as part of the National Clinical Audit and Patient Outcomes Programme (NCAPOP). NATCAN delivers national cancer audits in non-Hodgkin lymphoma, bowel, breast (primary and metastatic), oesophago-gastric, ovarian, kidney, lung, pancreatic and prostate cancers. HQIP is led by a consortium of the Academy of Medical Royal Colleges, and the Royal College of Nursing. Its aim is to promote quality improvement in patient outcomes, and in particular, to increase the impact that clinical audit, outcome review programmes and registries have on healthcare quality in England and Wales. HQIP holds the contract to commission, manage and develop the National Clinical Audit and Patient Outcomes Programme (NCAPOP), comprising around 40 projects covering care provided to people with a wide range of medical, surgical and mental health conditions. The programme is funded by NHS England, the Welsh Government and, with some individual projects, other devolved administrations and crown dependencies. </t>
    </r>
    <r>
      <rPr>
        <u/>
        <sz val="11"/>
        <rFont val="Calibri"/>
        <family val="2"/>
        <scheme val="minor"/>
      </rPr>
      <t xml:space="preserve">https://www.hqip.org.uk/national-programmes </t>
    </r>
  </si>
  <si>
    <t>Data completeness for Ethnicity (Data quality metric)</t>
  </si>
  <si>
    <t>Data completeness for Performance Status (Data quality metric)</t>
  </si>
  <si>
    <t>Please select a DATA QUALITY METRIC or PERFORMANCE INDICATOR from the dropdown box below:</t>
  </si>
  <si>
    <t>Target:</t>
  </si>
  <si>
    <t>Time period over which data quality metric / performance indicator is evaluated:</t>
  </si>
  <si>
    <t>lower_limit</t>
  </si>
  <si>
    <t>upper_limit</t>
  </si>
  <si>
    <t>lcl1</t>
  </si>
  <si>
    <t>ucl1</t>
  </si>
  <si>
    <t>lcl2</t>
  </si>
  <si>
    <t>ucl2</t>
  </si>
  <si>
    <t>lcl3</t>
  </si>
  <si>
    <t>ucl3</t>
  </si>
  <si>
    <t>lcl4</t>
  </si>
  <si>
    <t>ucl4</t>
  </si>
  <si>
    <t>lcl5</t>
  </si>
  <si>
    <t>ucl5</t>
  </si>
  <si>
    <t>lcl6</t>
  </si>
  <si>
    <t>ucl6</t>
  </si>
  <si>
    <t>lcl7</t>
  </si>
  <si>
    <t>ucl7</t>
  </si>
  <si>
    <t>lcl8</t>
  </si>
  <si>
    <t>ucl8</t>
  </si>
  <si>
    <t>lcl9</t>
  </si>
  <si>
    <t>ucl9</t>
  </si>
  <si>
    <t>lcl10</t>
  </si>
  <si>
    <t>ucl10</t>
  </si>
  <si>
    <t>lcl11</t>
  </si>
  <si>
    <t>ucl11</t>
  </si>
  <si>
    <t>lcl12</t>
  </si>
  <si>
    <t>ucl12</t>
  </si>
  <si>
    <t>ts1</t>
  </si>
  <si>
    <t>ts2</t>
  </si>
  <si>
    <t>ts3</t>
  </si>
  <si>
    <t>ts4</t>
  </si>
  <si>
    <t>ts5</t>
  </si>
  <si>
    <t>ts6</t>
  </si>
  <si>
    <t>ts7</t>
  </si>
  <si>
    <t>ts8</t>
  </si>
  <si>
    <t>ts9</t>
  </si>
  <si>
    <t>ts10</t>
  </si>
  <si>
    <t>ts11</t>
  </si>
  <si>
    <t>ts12</t>
  </si>
  <si>
    <t>prop_3years</t>
  </si>
  <si>
    <t>time_series</t>
  </si>
  <si>
    <t>long_run</t>
  </si>
  <si>
    <t>!A1:BZ127</t>
  </si>
  <si>
    <t>!A1:BZ1</t>
  </si>
  <si>
    <t>Lower limit (left axis)</t>
  </si>
  <si>
    <t>Upper limit (left axis)</t>
  </si>
  <si>
    <t>Time series (left axis)</t>
  </si>
  <si>
    <t>Long run proportion (left axis)</t>
  </si>
  <si>
    <t>East of England</t>
  </si>
  <si>
    <t>Humber and North Yorkshire</t>
  </si>
  <si>
    <t>Somerset, Wiltshire, Avon and Gloucestershire</t>
  </si>
  <si>
    <t>Cancer Alliance</t>
  </si>
  <si>
    <t>Moving average (left axis)</t>
  </si>
  <si>
    <t>Proportion (left axis)</t>
  </si>
  <si>
    <t>Moving average (data quality metrics only):</t>
  </si>
  <si>
    <t>Time series (performance indicator only):</t>
  </si>
  <si>
    <t>Long run proportion (performance indicator only):</t>
  </si>
  <si>
    <t>selected_dq_riskadjust_xc</t>
  </si>
  <si>
    <t>Risk adjustment:</t>
  </si>
  <si>
    <t>No</t>
  </si>
  <si>
    <t>Lists!A10:J10</t>
  </si>
  <si>
    <t>selected_dq_riskadjust_l</t>
  </si>
  <si>
    <t>Lower and upper control limits (performance indicator only):</t>
  </si>
  <si>
    <t>Data quality metrics and performance indicators are reported as proportions and are calculated by dividing a numerator by a denominator, the definitions of which can be found below.</t>
  </si>
  <si>
    <t>The average proportion across the selected quarter and the 3 previous quarters so across twelve months in total.</t>
  </si>
  <si>
    <t xml:space="preserve">Data quality metric results from tertiary centres such as the Christie and the Royal Marsden are more difficult to interpret as we wouldn't expect them to submit information captured at diagnosis as people are referred to these trusts for treatment after being diagnosed in a different trust. </t>
  </si>
  <si>
    <t>Please note that data are missing across a number of time points for several NHS trusts and data quality metrics / performance indicators. Missing data are presented as an interuption to the time series in the figure and blank cells in the table to the right. Quarters with less than 10 people were rolled into the next quarter. We only allowed people to move by one quarter. If a Trust had too few quarters of data for a performance indicator, then control limits, time series and long run proportion values won't be displayed.</t>
  </si>
  <si>
    <t xml:space="preserve">It is natural for metric values to vary from quarter to quarter.  This might be due to random variation or to changes in hospital activity.  </t>
  </si>
  <si>
    <r>
      <rPr>
        <b/>
        <sz val="11"/>
        <color theme="1"/>
        <rFont val="Calibri"/>
        <family val="2"/>
        <scheme val="minor"/>
      </rPr>
      <t>Data quality metrics</t>
    </r>
    <r>
      <rPr>
        <b/>
        <u/>
        <sz val="11"/>
        <color theme="1"/>
        <rFont val="Calibri"/>
        <family val="2"/>
        <scheme val="minor"/>
      </rPr>
      <t xml:space="preserve">
</t>
    </r>
    <r>
      <rPr>
        <sz val="11"/>
        <color theme="1"/>
        <rFont val="Calibri"/>
        <family val="2"/>
        <scheme val="minor"/>
      </rPr>
      <t xml:space="preserve">The moving average reduces the amount of random variation in the sequence of values, and this helps to reveal trends / changes in patterns of data completeness. </t>
    </r>
    <r>
      <rPr>
        <b/>
        <u/>
        <sz val="11"/>
        <color theme="1"/>
        <rFont val="Calibri"/>
        <family val="2"/>
        <scheme val="minor"/>
      </rPr>
      <t xml:space="preserve"> </t>
    </r>
  </si>
  <si>
    <t>REPORTING PERIODS</t>
  </si>
  <si>
    <r>
      <rPr>
        <b/>
        <i/>
        <sz val="11"/>
        <color theme="1"/>
        <rFont val="Calibri"/>
        <family val="2"/>
        <scheme val="minor"/>
      </rPr>
      <t>Why do we report data completeness?</t>
    </r>
    <r>
      <rPr>
        <sz val="11"/>
        <color theme="1"/>
        <rFont val="Calibri"/>
        <family val="2"/>
        <scheme val="minor"/>
      </rPr>
      <t xml:space="preserve">
We report on data completeness as this aspect of data quality underpins what we can reliably and robustly report as an audit. We encourage all provider teams to review their data completeness and make improvements as this will increase the number of people we can include in analyses and increase the range of analyses we can conduct.  </t>
    </r>
  </si>
  <si>
    <t>Programme</t>
  </si>
  <si>
    <t>National Cancer Audit Collaborating Centre (NATCAN)</t>
  </si>
  <si>
    <t>Workstream</t>
  </si>
  <si>
    <t>Output title</t>
  </si>
  <si>
    <t>Geographical coverage</t>
  </si>
  <si>
    <t>England</t>
  </si>
  <si>
    <t>Patient cohort*</t>
  </si>
  <si>
    <t xml:space="preserve">Publication date </t>
  </si>
  <si>
    <t>Publication type</t>
  </si>
  <si>
    <t>☐</t>
  </si>
  <si>
    <t>First quarterly data completeness spreadsheet</t>
  </si>
  <si>
    <t xml:space="preserve">☒ </t>
  </si>
  <si>
    <t>Second quarterly data completeness spreadsheet</t>
  </si>
  <si>
    <t>Subsequent quarterly clinical performance indicator data release spreadsheet</t>
  </si>
  <si>
    <t>First quarterly online dashboard data release</t>
  </si>
  <si>
    <t>Subsequent online dashboard data release</t>
  </si>
  <si>
    <t xml:space="preserve">Annual full indicator data release </t>
  </si>
  <si>
    <t>Intended audience</t>
  </si>
  <si>
    <t>Prepared by</t>
  </si>
  <si>
    <t>*Please see further information within the ‘Introduction’ tab.</t>
  </si>
  <si>
    <t>Data quality metric / performance indicator</t>
  </si>
  <si>
    <t>Time period</t>
  </si>
  <si>
    <t>Data source(s)</t>
  </si>
  <si>
    <t xml:space="preserve">          This check box enables the user to show/hide associated data series. Q1: 1 January – 31 March; Q2: 1 April – 30 June; Q3: 1 July – 30 September; Q4: 1 October – 31 December</t>
  </si>
  <si>
    <t>Cancer Alliance Results</t>
  </si>
  <si>
    <t>Isle Of Wight NHS Trust</t>
  </si>
  <si>
    <t>Mersey And West Lancashire Teaching Hospitals NHS Trust</t>
  </si>
  <si>
    <t>Queen Elizabeth Hospital, King's Lynn, NHS Foundation Trust</t>
  </si>
  <si>
    <t>University Hospitals Of North Midlands NHS Trust</t>
  </si>
  <si>
    <t>Countess Of Chester Hospital NHS Foundation Trust</t>
  </si>
  <si>
    <t>Newcastle Upon Tyne Hospitals NHS Foundation Trust</t>
  </si>
  <si>
    <t>University Hospitals Of Derby and Burton NHS Foundation Trust</t>
  </si>
  <si>
    <t>University Hospitals Of Morecambe Bay NHS Foundation Trust</t>
  </si>
  <si>
    <t>Epsom and St Helier University Hospitals NHS Trust</t>
  </si>
  <si>
    <t>North Tees and Hartlepool NHS Foundation Trust</t>
  </si>
  <si>
    <t>University Hospitals Of Leicester NHS Trust</t>
  </si>
  <si>
    <t>Warrington and Halton Teaching Hospitals NHS Foundation Trust</t>
  </si>
  <si>
    <t>Calderdale and Huddersfield NHS Foundation Trust</t>
  </si>
  <si>
    <t>Trust Code</t>
  </si>
  <si>
    <t>Trust Name</t>
  </si>
  <si>
    <t>Male (%)</t>
  </si>
  <si>
    <t>Female (%)</t>
  </si>
  <si>
    <t>70-79 years old (%)</t>
  </si>
  <si>
    <t>&lt;60 years old (%)</t>
  </si>
  <si>
    <t>60-69 years old (%)</t>
  </si>
  <si>
    <t>≥80 years old (%)</t>
  </si>
  <si>
    <t>IMD 1 - least deprived (%)</t>
  </si>
  <si>
    <t>IMD 5 - most deprived (%)</t>
  </si>
  <si>
    <t xml:space="preserve">IMD 2 (%) </t>
  </si>
  <si>
    <t xml:space="preserve">IMD 3 (%) </t>
  </si>
  <si>
    <t xml:space="preserve">IMD 4 (%) </t>
  </si>
  <si>
    <t>Age</t>
  </si>
  <si>
    <t>Gender</t>
  </si>
  <si>
    <t>Deprivation (Index of Multiple Deprivation)</t>
  </si>
  <si>
    <t>Data source</t>
  </si>
  <si>
    <t>People diagnosed 1st April 2021 to 31st March 2024</t>
  </si>
  <si>
    <t>National Kidney Cancer Audit (NKCA)</t>
  </si>
  <si>
    <t>NKCA quarterly data only release (April 2021 - March 2024)</t>
  </si>
  <si>
    <t>People diagnosed with kidney cancer in England between 01/04/2021 and 31/03/2024</t>
  </si>
  <si>
    <t>NHS trusts providing kidney cancer care; NHS trust-level teams responsible for COSD data entry and data quality</t>
  </si>
  <si>
    <t>NKCA team</t>
  </si>
  <si>
    <t>Data completeness for Morphology (among patients diagnosed based on histology or cytology)</t>
  </si>
  <si>
    <t>Data completeness for Performance Status</t>
  </si>
  <si>
    <t>Data completeness for TNM stage (T stage (1-4), N stage and M stage complete)</t>
  </si>
  <si>
    <t>Data completeness for TNM staging information (full T stage (1a, 1b, etc.), N stage and M stage complete)</t>
  </si>
  <si>
    <t>Data completeness for Clinical Nurse Specialist (Data quality metric)</t>
  </si>
  <si>
    <t>Data completeness for Lesion Size (pathological) (Data quality metric)</t>
  </si>
  <si>
    <t>Data completeness for MDT First Meeting Date (Data quality metric)</t>
  </si>
  <si>
    <t>Data completeness for Morphology (among patients diagnosed based on histology or cytology) (Data quality metric)</t>
  </si>
  <si>
    <t>Data completeness for TNM stage (T stage (1-4), N stage and M stage complete) (Data quality metric)</t>
  </si>
  <si>
    <t>Data completeness for TNM staging information (full T stage (1a, 1b, etc.), N stage and M stage complete) (Data quality metric)</t>
  </si>
  <si>
    <t>size_p</t>
  </si>
  <si>
    <t>mdt_p</t>
  </si>
  <si>
    <t>full_tnm_p</t>
  </si>
  <si>
    <t>Number of people with a new diagnosis of kidney cancer and recorded clinical nurse specialist</t>
  </si>
  <si>
    <t>Number of people with a new diagnosis of kidney cancer</t>
  </si>
  <si>
    <t>Number of people with a new diagnosis of kidney cancer and recorded ethnicity</t>
  </si>
  <si>
    <t>Number of people with a new diagnosis of kidney cancer and recorded pathological lesion size</t>
  </si>
  <si>
    <t>Number of people with a new diagnosis of kidney cancer and recorded MDT first meeting date</t>
  </si>
  <si>
    <t>Number of people with a new diagnosis of kidney cancer based on histology or cytology and recorded morphology</t>
  </si>
  <si>
    <t>Number of people with a new diagnosis of kidney cancer based on histology or cytology</t>
  </si>
  <si>
    <t>Number of people with a new diagnosis of kidney cancer and recorded performance status</t>
  </si>
  <si>
    <t>Number of people with a new diagnosis of kidney cancer and recorded TNM stage (T stage (1-4), N stage and M stage complete)</t>
  </si>
  <si>
    <t>Number of people with a new diagnosis of kidney cancer and recorded TNM full stage (full T stage (1a, 1b etc), N stage and M stage complete)</t>
  </si>
  <si>
    <t>Clinical Nurse Specialist</t>
  </si>
  <si>
    <t>Lesion Size (pathological)</t>
  </si>
  <si>
    <t>MDT First Meeting Date</t>
  </si>
  <si>
    <t>Morphology</t>
  </si>
  <si>
    <t>People diagnosed 1st April 2021 to 31st December 2022</t>
  </si>
  <si>
    <t>1st April 2021</t>
  </si>
  <si>
    <t>31st March 2024</t>
  </si>
  <si>
    <t>Q4 2024</t>
  </si>
  <si>
    <t>A53:L53</t>
  </si>
  <si>
    <r>
      <t xml:space="preserve">The purpose of the National Kidney Cancer Audit (NKCA) is to evaluate the patterns of care and outcomes for people with kidney cancer in England and Wales, and to support services to improve the quality of care for these individuals. More details of the audit aims and scope can be found on our </t>
    </r>
    <r>
      <rPr>
        <u/>
        <sz val="11"/>
        <rFont val="Calibri"/>
        <family val="2"/>
        <scheme val="minor"/>
      </rPr>
      <t>webpage</t>
    </r>
    <r>
      <rPr>
        <sz val="11"/>
        <rFont val="Calibri"/>
        <family val="2"/>
        <scheme val="minor"/>
      </rPr>
      <t>.</t>
    </r>
  </si>
  <si>
    <r>
      <rPr>
        <b/>
        <i/>
        <sz val="11"/>
        <color theme="1"/>
        <rFont val="Calibri"/>
        <family val="2"/>
        <scheme val="minor"/>
      </rPr>
      <t>Data sources</t>
    </r>
    <r>
      <rPr>
        <sz val="11"/>
        <color theme="1"/>
        <rFont val="Calibri"/>
        <family val="2"/>
        <scheme val="minor"/>
      </rPr>
      <t xml:space="preserve">
In England, NATCAN receives information from the National Cancer Registration and Analysis Service (NCRAS), part of the National Disease Registration Service (NDRS), NHS England. NDRS collects patient-level data from all NHS acute providers on people with cancer using a range of national data-feeds. This includes the Cancer Registration datasets and the Cancer Outcomes and Services Dataset (COSD). COSD data are submitted to the NDRS monthly via Multidisciplinary Team electronic data collection systems. Clinical sign-off of data submitted to NDRS is not mandated in England. The information held in the registration dataset is compiled from a number of sources.</t>
    </r>
  </si>
  <si>
    <r>
      <t xml:space="preserve">For this quarterly report, the NKCA utilised data from the Rapid Cancer Registration Dataset (RCRD) and COSD. While RCRD is compiled mainly from COSD records, the speed of production means that the range of data items is limited and several standard data items in the complete National Cancer Registration Dataset (NCRD) are unavailable. We therefore also report data completeness for a few select items from the COSD that are not reported in the RCRD, but that will be required to develop and report key performance indicators. It is also worth noting that RCRD does not have complete coverage of all patients diagnosed with kidney cancer in England during the reporting period. To access more information about the RCRD click </t>
    </r>
    <r>
      <rPr>
        <u/>
        <sz val="11"/>
        <rFont val="Calibri"/>
        <family val="2"/>
        <scheme val="minor"/>
      </rPr>
      <t>here</t>
    </r>
    <r>
      <rPr>
        <sz val="11"/>
        <rFont val="Calibri"/>
        <family val="2"/>
        <scheme val="minor"/>
      </rPr>
      <t>. RCRD and COSD were received by NATCAN in August 2024. The RCRD received contained patient data submitted to NDRS by English NHS trusts for people diagnosed between 1st January 2018 and 31st May 2024. For the data quality metrics that use RCRD, we have included the three most recent years of data in this quarterly report except we have not included April or May 2024 so that we could align with the quarters by calendar year (Q1 = Jan-Mar; Q2 = Apr-Jun; Q3 = Jul-Sep; Q4 = Oct-Dec). Some of the COSD data items received (e.g. lesion size and TNM) contained patient data submitted to NDRS by English NHS trusts for people diagnosed between 1st January 2018 and 28th February 2023. For the data quality metrics that use these COSD data items, we have included the latest 21 months of data in this quarterly report except we have not included January and February 2023 so that we could align with the quarters by calendar year (Q1 = Jan-Mar; Q2 = Apr-Jun; Q3 = Jul-Sep; Q4 = Oct-Dec).</t>
    </r>
  </si>
  <si>
    <r>
      <rPr>
        <b/>
        <i/>
        <sz val="11"/>
        <color theme="1"/>
        <rFont val="Calibri"/>
        <family val="2"/>
        <scheme val="minor"/>
      </rPr>
      <t>How have we chosen these specific data items to focus on?</t>
    </r>
    <r>
      <rPr>
        <sz val="11"/>
        <color theme="1"/>
        <rFont val="Calibri"/>
        <family val="2"/>
        <scheme val="minor"/>
      </rPr>
      <t xml:space="preserve">
The specific data items we report the completeness of were chosen in collaboration with the audit’s clinical and methodological experts.  
</t>
    </r>
    <r>
      <rPr>
        <b/>
        <sz val="11"/>
        <color theme="1"/>
        <rFont val="Calibri"/>
        <family val="2"/>
        <scheme val="minor"/>
      </rPr>
      <t>Clinical nurse specialist</t>
    </r>
    <r>
      <rPr>
        <sz val="11"/>
        <color theme="1"/>
        <rFont val="Calibri"/>
        <family val="2"/>
        <scheme val="minor"/>
      </rPr>
      <t xml:space="preserve"> was chosen as we would like to better explore the experience of people diagnosed with kidney cancer so improving the completeness of this data item is key.
</t>
    </r>
    <r>
      <rPr>
        <b/>
        <sz val="11"/>
        <color theme="1"/>
        <rFont val="Calibri"/>
        <family val="2"/>
        <scheme val="minor"/>
      </rPr>
      <t>Ethnicity</t>
    </r>
    <r>
      <rPr>
        <sz val="11"/>
        <color theme="1"/>
        <rFont val="Calibri"/>
        <family val="2"/>
        <scheme val="minor"/>
      </rPr>
      <t xml:space="preserve"> was chosen as we would like to thoroughly explore inequalities in cancer care which is a priority for NHS England. To enable this, it is important that every patient has ethnicity accurately recorded.
</t>
    </r>
    <r>
      <rPr>
        <b/>
        <sz val="11"/>
        <color theme="1"/>
        <rFont val="Calibri"/>
        <family val="2"/>
        <scheme val="minor"/>
      </rPr>
      <t>Lesion size</t>
    </r>
    <r>
      <rPr>
        <sz val="11"/>
        <color theme="1"/>
        <rFont val="Calibri"/>
        <family val="2"/>
        <scheme val="minor"/>
      </rPr>
      <t xml:space="preserve"> was chosen as it is important in kidney cancer for assessing the eligibility of patients for different treatments.
</t>
    </r>
    <r>
      <rPr>
        <b/>
        <sz val="11"/>
        <color theme="1"/>
        <rFont val="Calibri"/>
        <family val="2"/>
        <scheme val="minor"/>
      </rPr>
      <t xml:space="preserve">Multidisciplinary team (MDT) first meeting date </t>
    </r>
    <r>
      <rPr>
        <sz val="11"/>
        <color theme="1"/>
        <rFont val="Calibri"/>
        <family val="2"/>
        <scheme val="minor"/>
      </rPr>
      <t xml:space="preserve">was chosen as we would like to investigate what proportion of people diagnosed with kidney cancer are discussed at an MDT before undergoing treatment.
</t>
    </r>
    <r>
      <rPr>
        <b/>
        <sz val="11"/>
        <color theme="1"/>
        <rFont val="Calibri"/>
        <family val="2"/>
        <scheme val="minor"/>
      </rPr>
      <t xml:space="preserve">Morphology </t>
    </r>
    <r>
      <rPr>
        <sz val="11"/>
        <color theme="1"/>
        <rFont val="Calibri"/>
        <family val="2"/>
        <scheme val="minor"/>
      </rPr>
      <t xml:space="preserve">was selected as it could allow us to explore kidney cancer subtypes.
</t>
    </r>
    <r>
      <rPr>
        <b/>
        <sz val="11"/>
        <color theme="1"/>
        <rFont val="Calibri"/>
        <family val="2"/>
        <scheme val="minor"/>
      </rPr>
      <t xml:space="preserve">Performance status </t>
    </r>
    <r>
      <rPr>
        <sz val="11"/>
        <color theme="1"/>
        <rFont val="Calibri"/>
        <family val="2"/>
        <scheme val="minor"/>
      </rPr>
      <t xml:space="preserve">was chosen as it is important across cancers for assessing the eligibility of patients for different treatments.
</t>
    </r>
    <r>
      <rPr>
        <b/>
        <sz val="11"/>
        <color theme="1"/>
        <rFont val="Calibri"/>
        <family val="2"/>
        <scheme val="minor"/>
      </rPr>
      <t>TNM</t>
    </r>
    <r>
      <rPr>
        <sz val="11"/>
        <color theme="1"/>
        <rFont val="Calibri"/>
        <family val="2"/>
        <scheme val="minor"/>
      </rPr>
      <t>, which is stage of disease where "T" represents the local stage, "N" represents the presence of lymph node involvement and "M" represents the presence of metastatic disease, is essential for risk stratifying patients. In kidney cancer TNM is particularly important as knowing whether a patient is stage I-IV does not provide information regarding regional lymph node involvement as well as distant metastatic disease. We are also interested in whether full T stage (T1a, T1b, etc.) is recorded as that is useful for assessing eligibility for different treatments.</t>
    </r>
  </si>
  <si>
    <r>
      <t xml:space="preserve">Reporting period 1 (1st April 2021 to 31st March 2024):
</t>
    </r>
    <r>
      <rPr>
        <sz val="11"/>
        <color theme="1"/>
        <rFont val="Calibri"/>
        <family val="2"/>
        <scheme val="minor"/>
      </rPr>
      <t>Data completeness for Clinical Nurse Specialist
Data completeness for Ethnicity
Data completeness for MDT First Meeting Date
Data completeness for Morphology (among people diagnosed based on histology or cytology)
Data completeness for Performance Status</t>
    </r>
  </si>
  <si>
    <r>
      <t xml:space="preserve">Reporting period 2 (1st April 2021 to 31st December 2022):
</t>
    </r>
    <r>
      <rPr>
        <sz val="11"/>
        <color theme="1"/>
        <rFont val="Calibri"/>
        <family val="2"/>
        <scheme val="minor"/>
      </rPr>
      <t>Data completeness for Lesion Size (pathological)
Data completeness for TNM stage (T stage (1-4), N stage and M stage complete)
Data completeness for TNM staging information (full T stage (1a, 1b, etc.), N stage and M stage complete)</t>
    </r>
  </si>
  <si>
    <t xml:space="preserve">People aged 18 years and over who received care provided by the National Health Service in England and have a diagnosis of kidney cancer, as documented by International Classification of Diseases code C64. </t>
  </si>
  <si>
    <r>
      <rPr>
        <sz val="11"/>
        <rFont val="Calibri"/>
        <family val="2"/>
        <scheme val="minor"/>
      </rPr>
      <t xml:space="preserve">The key COSD data requirements for the NKCA are available </t>
    </r>
    <r>
      <rPr>
        <u/>
        <sz val="11"/>
        <rFont val="Calibri"/>
        <family val="2"/>
        <scheme val="minor"/>
      </rPr>
      <t>here.</t>
    </r>
  </si>
  <si>
    <t>NKCA</t>
  </si>
  <si>
    <t>National Kidney Cancer Audit</t>
  </si>
  <si>
    <r>
      <rPr>
        <b/>
        <sz val="11"/>
        <color theme="1"/>
        <rFont val="Calibri"/>
        <family val="2"/>
        <scheme val="minor"/>
      </rPr>
      <t>This report was prepared by members of the NKCA project team:</t>
    </r>
    <r>
      <rPr>
        <sz val="11"/>
        <color theme="1"/>
        <rFont val="Calibri"/>
        <family val="2"/>
        <scheme val="minor"/>
      </rPr>
      <t xml:space="preserve">
</t>
    </r>
    <r>
      <rPr>
        <sz val="11"/>
        <rFont val="Calibri"/>
        <family val="2"/>
        <scheme val="minor"/>
      </rPr>
      <t xml:space="preserve">Amit Bahl, Oncology Clinical Lead
Grant Stewart, Surgery Clinical Lead
</t>
    </r>
    <r>
      <rPr>
        <sz val="11"/>
        <color theme="1"/>
        <rFont val="Calibri"/>
        <family val="2"/>
        <scheme val="minor"/>
      </rPr>
      <t xml:space="preserve">Team members in the National Cancer Audit Collaborating Centre, based in the Clinical Effectiveness Unit, RCS England:
• </t>
    </r>
    <r>
      <rPr>
        <sz val="11"/>
        <rFont val="Calibri"/>
        <family val="2"/>
        <scheme val="minor"/>
      </rPr>
      <t>Thomas Cowling, NKCA Senior Methodologist</t>
    </r>
    <r>
      <rPr>
        <sz val="11"/>
        <color theme="1"/>
        <rFont val="Calibri"/>
        <family val="2"/>
        <scheme val="minor"/>
      </rPr>
      <t xml:space="preserve">
• Emily Mayne, NKCA Data Scientist
• Jan van der Meulen, NKCA Methodological Lead
• Cressida Miller, NKCA Senior Project Manager
• Julie Nossiter, Director of Operations, NATCAN
• Marina Parry, NKCA Senior Project Manager
• Raghav Varma, NKCA Clinical Research Fellow</t>
    </r>
  </si>
  <si>
    <r>
      <rPr>
        <b/>
        <sz val="11"/>
        <color rgb="FF000000"/>
        <rFont val="Calibri"/>
        <family val="2"/>
        <scheme val="minor"/>
      </rPr>
      <t xml:space="preserve">Citation for this document:
</t>
    </r>
    <r>
      <rPr>
        <sz val="11"/>
        <rFont val="Calibri"/>
        <family val="2"/>
        <scheme val="minor"/>
      </rPr>
      <t>National Kidney Cancer Audit:</t>
    </r>
    <r>
      <rPr>
        <sz val="11"/>
        <color rgb="FF000000"/>
        <rFont val="Calibri"/>
        <family val="2"/>
        <scheme val="minor"/>
      </rPr>
      <t xml:space="preserve"> Quarterly Report October</t>
    </r>
    <r>
      <rPr>
        <sz val="11"/>
        <color rgb="FF7030A0"/>
        <rFont val="Calibri"/>
        <family val="2"/>
        <scheme val="minor"/>
      </rPr>
      <t xml:space="preserve"> </t>
    </r>
    <r>
      <rPr>
        <sz val="11"/>
        <rFont val="Calibri"/>
        <family val="2"/>
        <scheme val="minor"/>
      </rPr>
      <t xml:space="preserve">2024. </t>
    </r>
    <r>
      <rPr>
        <sz val="11"/>
        <color rgb="FF000000"/>
        <rFont val="Calibri"/>
        <family val="2"/>
        <scheme val="minor"/>
      </rPr>
      <t>London: Royal College of Surgeons of E</t>
    </r>
    <r>
      <rPr>
        <sz val="11"/>
        <rFont val="Calibri"/>
        <family val="2"/>
        <scheme val="minor"/>
      </rPr>
      <t>ngland, 2024</t>
    </r>
    <r>
      <rPr>
        <sz val="11"/>
        <color rgb="FF000000"/>
        <rFont val="Calibri"/>
        <family val="2"/>
        <scheme val="minor"/>
      </rPr>
      <t xml:space="preserve">.
</t>
    </r>
    <r>
      <rPr>
        <b/>
        <sz val="11"/>
        <color rgb="FF000000"/>
        <rFont val="Calibri"/>
        <family val="2"/>
        <scheme val="minor"/>
      </rPr>
      <t xml:space="preserve">© 2024 Healthcare Quality Improvement Partnership (HQIP)
</t>
    </r>
    <r>
      <rPr>
        <sz val="11"/>
        <color rgb="FF000000"/>
        <rFont val="Calibri"/>
        <family val="2"/>
        <scheme val="minor"/>
      </rPr>
      <t>Copyright All rights reserved. No part of this publication may be reproduced in any form (including photocopying or storing it in any medium by electronic means and whether or not transiently or incidentally to some other use of this publication) without the written permission of the copyright owner. Applications for the copyright owner’s written permission to reproduce any part of this publication should be addressed to the publisher.</t>
    </r>
  </si>
  <si>
    <r>
      <t>The NKCA</t>
    </r>
    <r>
      <rPr>
        <sz val="11"/>
        <color rgb="FF000000"/>
        <rFont val="Calibri"/>
        <family val="2"/>
        <scheme val="minor"/>
      </rPr>
      <t xml:space="preserve"> is part of the </t>
    </r>
    <r>
      <rPr>
        <u/>
        <sz val="11"/>
        <color rgb="FF000000"/>
        <rFont val="Calibri"/>
        <family val="2"/>
        <scheme val="minor"/>
      </rPr>
      <t>National Cancer Audit Collaborating Centre (NATCAN)</t>
    </r>
    <r>
      <rPr>
        <sz val="11"/>
        <color rgb="FF000000"/>
        <rFont val="Calibri"/>
        <family val="2"/>
        <scheme val="minor"/>
      </rPr>
      <t xml:space="preserve">, the home of the ten national cancer audits in England and Wales. This national centre of excellence was established to strengthen cancer services by evaluating the process of diagnosis and treatment, and patient outcomes in multiple cancer sites. </t>
    </r>
  </si>
  <si>
    <t>31days_p</t>
  </si>
  <si>
    <t>Lists!A11:J19</t>
  </si>
  <si>
    <t>Lists!A11:A19</t>
  </si>
  <si>
    <t>Number of people with a new diagnosis of kidney cancer who receive treatment</t>
  </si>
  <si>
    <t>Number of people with a new diagnosis of kidney cancer who receive first treatment within 31 days of decision to treat</t>
  </si>
  <si>
    <t>First treatment within 31 days of decision to treat (Performance indicator)</t>
  </si>
  <si>
    <t>N/A</t>
  </si>
  <si>
    <t>Percentage of people who receive treatment for kidney cancer that receive their first treatment within 31 days of decision to treat</t>
  </si>
  <si>
    <t>Percentage of TNM staging information (full T stage (1a, 1b, etc.), N stage and M stage complete) recorded (%)</t>
  </si>
  <si>
    <t>Percentage of people with TNM stage (T stage (1-4), N stage and M stage complete) recorded (%)</t>
  </si>
  <si>
    <t>Percentage of people with Performance Status recorded (%)</t>
  </si>
  <si>
    <t>Percentage of people diagnosed based on histology or cytology with Morphology recorded (%)</t>
  </si>
  <si>
    <t>Percentage of people with MDT First Meeting Date recorded (%)</t>
  </si>
  <si>
    <t>Percentage of people with Lesion Size (pathological) recorded (%)</t>
  </si>
  <si>
    <t>Percentage of people with Ethnicity recorded (%)</t>
  </si>
  <si>
    <t>Percentage of people with Clinical Nurse Specialist recorded (%)</t>
  </si>
  <si>
    <t>Unadjusted percentage of people who receive treatment for kidney cancer that receive their first treatment within 31 days of decision to treat (%)</t>
  </si>
  <si>
    <t xml:space="preserve">Rapid Cancer Registration Dataset (RCRD),
Cancer Waiting Times (CWT),
Hospital Episode Statistics Admitted Patient Care (HES APC),
Systemic Anti-Cancer Therapy (SACT),
Radiotherapy Data Set (RTDS) </t>
  </si>
  <si>
    <t>Cancer Outcomes and Services Dataset (COSD)</t>
  </si>
  <si>
    <t>Rapid Cancer Registration Dataset (RCRD)</t>
  </si>
  <si>
    <t>The average proportion across 3 years (2021 - 2023).</t>
  </si>
  <si>
    <r>
      <rPr>
        <b/>
        <sz val="11"/>
        <rFont val="Calibri"/>
        <family val="2"/>
        <scheme val="minor"/>
      </rPr>
      <t xml:space="preserve">Reporting period 3 (1st April 2021 to 31st December 2023):
</t>
    </r>
    <r>
      <rPr>
        <sz val="11"/>
        <rFont val="Calibri"/>
        <family val="2"/>
        <scheme val="minor"/>
      </rPr>
      <t>First treatment within 31 days of decision to treat (Performance indicator)</t>
    </r>
  </si>
  <si>
    <r>
      <t xml:space="preserve">Performance indicator (First treatment within 31 days of decision to treat)
</t>
    </r>
    <r>
      <rPr>
        <sz val="11"/>
        <rFont val="Calibri"/>
        <family val="2"/>
        <scheme val="minor"/>
      </rPr>
      <t xml:space="preserve">The time series line reduces the amount of random variation in the sequence of values, and this helps to reveal trends / changes in patterns of the indicator. If the time series line is outside the control limits, this suggests that there is a change in performance beyond what we would expect due to chance. </t>
    </r>
  </si>
  <si>
    <t>The reporting periods differ amongst the data quality metrics as some of the COSD data items featured in reporting period 2 are currently experiencing a 15-month delay compared to the RCRD and COSD data items featured in reporting period 1. We are working with our data provider to try and reduce or eliminate this delay for future reports.
Reporting period 3 is until 31st December 2023 due to the requirement of 31 days of follow up from decision to treat date and a lag in receipt of required Hospital Episodes Statistics Admitted Patient Care (HES APC) data compared the main cancer registration dataset (RCRD).</t>
  </si>
  <si>
    <t>People diagnosed 1st April 2021 to 31st December 2023</t>
  </si>
  <si>
    <t>People diagnosed 1st January 2021 to 31st March 2024</t>
  </si>
  <si>
    <t>RTDS</t>
  </si>
  <si>
    <t>SACT</t>
  </si>
  <si>
    <t>Radiotherapy Dataset</t>
  </si>
  <si>
    <t>Systemic Anti-Cancer Therapy</t>
  </si>
  <si>
    <t>CWT</t>
  </si>
  <si>
    <t>HES APC</t>
  </si>
  <si>
    <t>Cancer Waiting Times</t>
  </si>
  <si>
    <t>Hospital Episode Statistics Admitted Patient Care</t>
  </si>
  <si>
    <t>RCRD, CWT, HES APC, RTDS, SACT</t>
  </si>
  <si>
    <t>Data source(s):</t>
  </si>
  <si>
    <t>Lists!A66:B186</t>
  </si>
  <si>
    <t>The data quality metrics in this report provide an overview of the quality of key data items for 27,908 people diagnosed with kidney cancer in England between 1st April 2021 and 31st March 2024.
The performance indicator (first treatment within 31 days of decision to treat) in this report includes 16,904 people diagnosed with kidney cancer in England between 1st April 2021 - 31st December 2023 who received treatment.</t>
  </si>
  <si>
    <r>
      <rPr>
        <b/>
        <i/>
        <sz val="11"/>
        <color rgb="FF000000"/>
        <rFont val="Calibri"/>
        <family val="2"/>
        <scheme val="minor"/>
      </rPr>
      <t>Other notes</t>
    </r>
    <r>
      <rPr>
        <sz val="11"/>
        <color rgb="FF000000"/>
        <rFont val="Calibri"/>
        <scheme val="minor"/>
      </rPr>
      <t xml:space="preserve">
For the data quality metrics and performance indicator, the NKCA has allocated people to NHS organisations based on the “trust at diagnosis” recorded within the RCRD dataset.</t>
    </r>
  </si>
  <si>
    <t>Patient Characteristics</t>
  </si>
  <si>
    <r>
      <rPr>
        <b/>
        <i/>
        <sz val="11"/>
        <color theme="1"/>
        <rFont val="Calibri"/>
        <family val="2"/>
        <scheme val="minor"/>
      </rPr>
      <t>How did we select our performance indicator?</t>
    </r>
    <r>
      <rPr>
        <sz val="11"/>
        <color theme="1"/>
        <rFont val="Calibri"/>
        <family val="2"/>
        <scheme val="minor"/>
      </rPr>
      <t xml:space="preserve">
The first performance indicator we are going to report quarterly is "Percentage of people who receive treatment for kidney cancer that receive their first treatment within 31 days of decision to treat". This was selected based on methodological development work conducted by the NKCA. The NKCA State of the Nation report indicators are currently challenging to report quarterly due to 1) current limitations of the RCRD such as lag in availability of TNM and lesion size which are used for cohort definition and 2) small numbers at the Trust-level when reporting on a quarterly basis.
Going forward, the team will continue development work, in consultation with stakeholders, to determine which performance indicators are appropriate for quarterly reporting using the RCRD. 
</t>
    </r>
  </si>
  <si>
    <t xml:space="preserve">Control limits are derived by adding and subtracting three standard deviations from the long run proportion where the standard deviation is defined as the square root of (p*(1-p)/n) where p is the long-run proportion and n is the denominator of the indicator value presented at a given time point (i.e. the number of people receiving kidney cancer treatment over the previous 12 months). If the time series line is outside the control limits, this suggests that there is a change in performance beyond what we would expect due to chance. </t>
  </si>
  <si>
    <t>For the performance indicator (first treatment within 31 days of decision to treat), the NKCA utilised data from RCRD and linked datasets. Cancer Waiting Times (CWT) dataset was used to identify decision to treat date, factor in wait time adjustments and to identify people whose first treatment was active surveillance. Hospital Episode Statistics Admitted Patient Care (HES APC) dataset was used to identify kidney cancer surgery, radiotherapy and systemic anti-cancer therapy. Radiotherapy Data Set (RTDS) was also used to identify radiotherapy and Systemic Anti-Cancer Therapy (SACT) dataset was used to identify systemic anti-cancer therapy. The most recent people included were those who were diagnosed on 31st December 2023 due to the requirement of 31 days of follow up from decision to treat date and a lag in receipt of required HES APC data compared with the main cancer registration dataset (RCRD).</t>
  </si>
  <si>
    <t>First quarterly clinical performance indicator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</si>
</sst>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0_-;\-* #,##0_-;_-* &quot;-&quot;??_-;_-@_-"/>
    <numFmt numFmtId="165" formatCode="#,##0.00_ ;\-#,##0.00\ "/>
    <numFmt numFmtId="166" formatCode="0_ ;\-0\ "/>
    <numFmt numFmtId="167" formatCode="0.0"/>
    <numFmt numFmtId="168" formatCode="0.000"/>
  </numFmts>
  <fonts count="33" x14ac:knownFonts="1">
    <font>
      <sz val="11"/>
      <color theme="1"/>
      <name val="Calibri"/>
      <family val="2"/>
      <scheme val="minor"/>
    </font>
    <font>
      <b/>
      <sz val="11"/>
      <color theme="1"/>
      <name val="Calibri"/>
      <family val="2"/>
      <scheme val="minor"/>
    </font>
    <font>
      <sz val="11"/>
      <color rgb="FF000000"/>
      <name val="Calibri"/>
      <family val="2"/>
    </font>
    <font>
      <u/>
      <sz val="11"/>
      <color theme="1"/>
      <name val="Calibri"/>
      <family val="2"/>
      <scheme val="minor"/>
    </font>
    <font>
      <sz val="11"/>
      <color theme="1"/>
      <name val="Calibri"/>
      <family val="2"/>
      <scheme val="minor"/>
    </font>
    <font>
      <sz val="8"/>
      <name val="Calibri"/>
      <family val="2"/>
      <scheme val="minor"/>
    </font>
    <font>
      <b/>
      <sz val="11"/>
      <color rgb="FF000000"/>
      <name val="Calibri"/>
      <family val="2"/>
    </font>
    <font>
      <sz val="10"/>
      <name val="Arial"/>
      <family val="2"/>
    </font>
    <font>
      <sz val="10"/>
      <name val="Arial"/>
      <family val="2"/>
    </font>
    <font>
      <b/>
      <sz val="10"/>
      <name val="Arial"/>
      <family val="2"/>
    </font>
    <font>
      <b/>
      <sz val="10"/>
      <color rgb="FF000000"/>
      <name val="Calibri"/>
      <family val="2"/>
    </font>
    <font>
      <sz val="10"/>
      <color rgb="FF000000"/>
      <name val="Calibri"/>
      <family val="2"/>
    </font>
    <font>
      <b/>
      <sz val="10"/>
      <color theme="1"/>
      <name val="Calibri"/>
      <family val="2"/>
      <scheme val="minor"/>
    </font>
    <font>
      <sz val="10"/>
      <color theme="1"/>
      <name val="Calibri"/>
      <family val="2"/>
      <scheme val="minor"/>
    </font>
    <font>
      <sz val="11"/>
      <name val="Calibri"/>
      <family val="2"/>
      <scheme val="minor"/>
    </font>
    <font>
      <sz val="12"/>
      <color theme="1"/>
      <name val="Calibri"/>
      <family val="2"/>
      <scheme val="minor"/>
    </font>
    <font>
      <sz val="11"/>
      <color rgb="FF323232"/>
      <name val="Calibri"/>
      <family val="2"/>
    </font>
    <font>
      <u/>
      <sz val="11"/>
      <color theme="10"/>
      <name val="Calibri"/>
      <family val="2"/>
      <scheme val="minor"/>
    </font>
    <font>
      <sz val="11"/>
      <color rgb="FF7030A0"/>
      <name val="Calibri"/>
      <family val="2"/>
      <scheme val="minor"/>
    </font>
    <font>
      <b/>
      <u/>
      <sz val="11"/>
      <color theme="1"/>
      <name val="Calibri"/>
      <family val="2"/>
      <scheme val="minor"/>
    </font>
    <font>
      <u/>
      <sz val="11"/>
      <name val="Calibri"/>
      <family val="2"/>
      <scheme val="minor"/>
    </font>
    <font>
      <sz val="11"/>
      <color rgb="FF000000"/>
      <name val="Calibri"/>
      <scheme val="minor"/>
    </font>
    <font>
      <sz val="11"/>
      <color rgb="FF000000"/>
      <name val="Calibri"/>
      <family val="2"/>
      <scheme val="minor"/>
    </font>
    <font>
      <u/>
      <sz val="11"/>
      <color rgb="FF000000"/>
      <name val="Calibri"/>
      <family val="2"/>
      <scheme val="minor"/>
    </font>
    <font>
      <b/>
      <sz val="11"/>
      <color rgb="FF000000"/>
      <name val="Calibri"/>
      <family val="2"/>
      <scheme val="minor"/>
    </font>
    <font>
      <sz val="10"/>
      <name val="Arial"/>
    </font>
    <font>
      <b/>
      <sz val="11"/>
      <name val="Calibri"/>
      <family val="2"/>
      <scheme val="minor"/>
    </font>
    <font>
      <b/>
      <i/>
      <sz val="11"/>
      <color theme="1"/>
      <name val="Calibri"/>
      <family val="2"/>
      <scheme val="minor"/>
    </font>
    <font>
      <b/>
      <i/>
      <sz val="11"/>
      <color rgb="FF000000"/>
      <name val="Calibri"/>
      <family val="2"/>
      <scheme val="minor"/>
    </font>
    <font>
      <b/>
      <sz val="16"/>
      <color theme="1"/>
      <name val="Calibri"/>
      <family val="2"/>
      <scheme val="minor"/>
    </font>
    <font>
      <sz val="11"/>
      <color rgb="FFFF0000"/>
      <name val="Calibri"/>
      <family val="2"/>
      <scheme val="minor"/>
    </font>
    <font>
      <b/>
      <sz val="11"/>
      <color rgb="FFFF0000"/>
      <name val="Calibri"/>
      <family val="2"/>
      <scheme val="minor"/>
    </font>
    <font>
      <b/>
      <sz val="11"/>
      <color theme="1"/>
      <name val="Arial"/>
      <family val="2"/>
    </font>
  </fonts>
  <fills count="17">
    <fill>
      <patternFill patternType="none"/>
    </fill>
    <fill>
      <patternFill patternType="gray125"/>
    </fill>
    <fill>
      <patternFill patternType="solid">
        <fgColor rgb="FFFFFF00"/>
        <bgColor indexed="64"/>
      </patternFill>
    </fill>
    <fill>
      <patternFill patternType="solid">
        <fgColor theme="0" tint="-0.14999847407452621"/>
        <bgColor theme="0" tint="-0.14999847407452621"/>
      </patternFill>
    </fill>
    <fill>
      <patternFill patternType="solid">
        <fgColor theme="7" tint="0.79998168889431442"/>
        <bgColor indexed="64"/>
      </patternFill>
    </fill>
    <fill>
      <patternFill patternType="solid">
        <fgColor theme="0" tint="-4.9989318521683403E-2"/>
        <bgColor indexed="64"/>
      </patternFill>
    </fill>
    <fill>
      <patternFill patternType="solid">
        <fgColor rgb="FFFFFF00"/>
        <bgColor theme="0" tint="-0.14999847407452621"/>
      </patternFill>
    </fill>
    <fill>
      <patternFill patternType="solid">
        <fgColor theme="4" tint="0.39997558519241921"/>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0"/>
        <bgColor indexed="64"/>
      </patternFill>
    </fill>
    <fill>
      <patternFill patternType="solid">
        <fgColor theme="0" tint="-0.249977111117893"/>
        <bgColor indexed="64"/>
      </patternFill>
    </fill>
    <fill>
      <patternFill patternType="solid">
        <fgColor rgb="FFB7D311"/>
        <bgColor indexed="64"/>
      </patternFill>
    </fill>
  </fills>
  <borders count="34">
    <border>
      <left/>
      <right/>
      <top/>
      <bottom/>
      <diagonal/>
    </border>
    <border>
      <left/>
      <right/>
      <top/>
      <bottom style="medium">
        <color indexed="64"/>
      </bottom>
      <diagonal/>
    </border>
    <border>
      <left/>
      <right/>
      <top style="thin">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bottom style="thin">
        <color theme="1"/>
      </bottom>
      <diagonal/>
    </border>
    <border>
      <left/>
      <right/>
      <top style="thin">
        <color theme="1"/>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thin">
        <color theme="1"/>
      </top>
      <bottom style="thin">
        <color theme="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thin">
        <color theme="1"/>
      </top>
      <bottom/>
      <diagonal/>
    </border>
    <border>
      <left style="medium">
        <color indexed="64"/>
      </left>
      <right/>
      <top/>
      <bottom/>
      <diagonal/>
    </border>
    <border>
      <left/>
      <right style="medium">
        <color indexed="64"/>
      </right>
      <top style="thin">
        <color theme="1"/>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thin">
        <color theme="1"/>
      </top>
      <bottom/>
      <diagonal/>
    </border>
  </borders>
  <cellStyleXfs count="14">
    <xf numFmtId="0" fontId="0" fillId="0" borderId="0"/>
    <xf numFmtId="43" fontId="4" fillId="0" borderId="0" applyFont="0" applyFill="0" applyBorder="0" applyAlignment="0" applyProtection="0"/>
    <xf numFmtId="0" fontId="8" fillId="0" borderId="0"/>
    <xf numFmtId="0" fontId="7"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0" fontId="7" fillId="0" borderId="0"/>
    <xf numFmtId="9" fontId="4" fillId="0" borderId="0" applyFont="0" applyFill="0" applyBorder="0" applyAlignment="0" applyProtection="0"/>
    <xf numFmtId="0" fontId="17" fillId="0" borderId="0" applyNumberFormat="0" applyFill="0" applyBorder="0" applyAlignment="0" applyProtection="0"/>
    <xf numFmtId="0" fontId="25" fillId="0" borderId="0"/>
    <xf numFmtId="9" fontId="25" fillId="0" borderId="0" applyFont="0" applyFill="0" applyBorder="0" applyAlignment="0" applyProtection="0"/>
  </cellStyleXfs>
  <cellXfs count="278">
    <xf numFmtId="0" fontId="0" fillId="0" borderId="0" xfId="0"/>
    <xf numFmtId="0" fontId="1" fillId="0" borderId="0" xfId="0" applyFont="1"/>
    <xf numFmtId="1" fontId="0" fillId="0" borderId="0" xfId="0" applyNumberFormat="1"/>
    <xf numFmtId="0" fontId="0" fillId="2" borderId="0" xfId="0" applyFill="1"/>
    <xf numFmtId="2" fontId="0" fillId="0" borderId="0" xfId="0" applyNumberFormat="1"/>
    <xf numFmtId="0" fontId="0" fillId="0" borderId="0" xfId="0" applyAlignment="1">
      <alignment wrapText="1"/>
    </xf>
    <xf numFmtId="0" fontId="0" fillId="0" borderId="2" xfId="0" applyBorder="1"/>
    <xf numFmtId="0" fontId="0" fillId="0" borderId="1" xfId="0" applyBorder="1"/>
    <xf numFmtId="0" fontId="0" fillId="0" borderId="4" xfId="0" applyBorder="1"/>
    <xf numFmtId="0" fontId="0" fillId="3" borderId="0" xfId="0" applyFill="1"/>
    <xf numFmtId="0" fontId="1" fillId="0" borderId="6" xfId="0" applyFont="1" applyBorder="1"/>
    <xf numFmtId="0" fontId="0" fillId="3" borderId="6" xfId="0" applyFill="1" applyBorder="1"/>
    <xf numFmtId="0" fontId="0" fillId="0" borderId="0" xfId="0" applyAlignment="1">
      <alignment horizontal="left"/>
    </xf>
    <xf numFmtId="0" fontId="0" fillId="4" borderId="7" xfId="0" applyFill="1" applyBorder="1"/>
    <xf numFmtId="0" fontId="0" fillId="0" borderId="7" xfId="0" applyBorder="1"/>
    <xf numFmtId="1" fontId="0" fillId="0" borderId="7" xfId="0" applyNumberFormat="1" applyBorder="1"/>
    <xf numFmtId="0" fontId="1" fillId="0" borderId="7" xfId="0" applyFont="1" applyBorder="1"/>
    <xf numFmtId="1" fontId="1" fillId="0" borderId="7" xfId="0" applyNumberFormat="1" applyFont="1" applyBorder="1"/>
    <xf numFmtId="2" fontId="0" fillId="0" borderId="7" xfId="0" applyNumberFormat="1" applyBorder="1"/>
    <xf numFmtId="2" fontId="1" fillId="0" borderId="6" xfId="0" applyNumberFormat="1" applyFont="1" applyBorder="1"/>
    <xf numFmtId="0" fontId="1" fillId="0" borderId="8" xfId="0" applyFont="1" applyBorder="1" applyAlignment="1">
      <alignment vertical="top"/>
    </xf>
    <xf numFmtId="0" fontId="0" fillId="0" borderId="4" xfId="0" applyBorder="1" applyAlignment="1">
      <alignment vertical="top"/>
    </xf>
    <xf numFmtId="0" fontId="0" fillId="0" borderId="8" xfId="0" applyBorder="1"/>
    <xf numFmtId="0" fontId="0" fillId="0" borderId="0" xfId="0" applyAlignment="1">
      <alignment horizontal="right"/>
    </xf>
    <xf numFmtId="0" fontId="0" fillId="3" borderId="12" xfId="0" applyFill="1" applyBorder="1"/>
    <xf numFmtId="2" fontId="0" fillId="3" borderId="12" xfId="0" applyNumberFormat="1" applyFill="1" applyBorder="1"/>
    <xf numFmtId="0" fontId="0" fillId="0" borderId="4" xfId="0" applyBorder="1" applyAlignment="1">
      <alignment horizontal="right"/>
    </xf>
    <xf numFmtId="0" fontId="2" fillId="0" borderId="0" xfId="0" applyFont="1" applyAlignment="1">
      <alignment horizontal="right" vertical="center" wrapText="1"/>
    </xf>
    <xf numFmtId="0" fontId="8" fillId="0" borderId="0" xfId="2"/>
    <xf numFmtId="166" fontId="0" fillId="0" borderId="0" xfId="1" applyNumberFormat="1" applyFont="1"/>
    <xf numFmtId="0" fontId="9" fillId="0" borderId="6" xfId="3" applyFont="1" applyBorder="1"/>
    <xf numFmtId="0" fontId="1" fillId="0" borderId="3" xfId="0" applyFont="1" applyBorder="1" applyAlignment="1">
      <alignment horizontal="center"/>
    </xf>
    <xf numFmtId="0" fontId="1" fillId="0" borderId="4" xfId="0" applyFont="1" applyBorder="1" applyAlignment="1">
      <alignment horizontal="center" vertical="center" wrapText="1"/>
    </xf>
    <xf numFmtId="2" fontId="0" fillId="0" borderId="17" xfId="0" applyNumberFormat="1" applyBorder="1"/>
    <xf numFmtId="0" fontId="0" fillId="0" borderId="18" xfId="0" applyBorder="1"/>
    <xf numFmtId="2" fontId="0" fillId="0" borderId="15" xfId="0" applyNumberFormat="1" applyBorder="1"/>
    <xf numFmtId="0" fontId="1" fillId="0" borderId="19" xfId="0" applyFont="1" applyBorder="1" applyAlignment="1">
      <alignment horizontal="center"/>
    </xf>
    <xf numFmtId="0" fontId="0" fillId="0" borderId="17" xfId="0" applyBorder="1"/>
    <xf numFmtId="0" fontId="0" fillId="0" borderId="15" xfId="0" applyBorder="1"/>
    <xf numFmtId="0" fontId="1" fillId="0" borderId="17" xfId="0" applyFont="1" applyBorder="1"/>
    <xf numFmtId="0" fontId="0" fillId="0" borderId="17" xfId="0" applyBorder="1" applyAlignment="1">
      <alignment horizontal="left" indent="2"/>
    </xf>
    <xf numFmtId="165" fontId="0" fillId="0" borderId="18" xfId="1" applyNumberFormat="1" applyFont="1" applyBorder="1" applyAlignment="1">
      <alignment horizontal="right"/>
    </xf>
    <xf numFmtId="4" fontId="0" fillId="0" borderId="18" xfId="0" applyNumberFormat="1" applyBorder="1" applyAlignment="1">
      <alignment horizontal="right"/>
    </xf>
    <xf numFmtId="0" fontId="0" fillId="0" borderId="15" xfId="0" applyBorder="1" applyAlignment="1">
      <alignment horizontal="left" indent="2"/>
    </xf>
    <xf numFmtId="0" fontId="0" fillId="0" borderId="16" xfId="0" applyBorder="1" applyAlignment="1">
      <alignment horizontal="right"/>
    </xf>
    <xf numFmtId="0" fontId="0" fillId="0" borderId="18" xfId="0" applyBorder="1" applyAlignment="1">
      <alignment horizontal="right"/>
    </xf>
    <xf numFmtId="0" fontId="1" fillId="0" borderId="16" xfId="0" applyFont="1" applyBorder="1" applyAlignment="1">
      <alignment horizontal="center" vertical="center" wrapText="1"/>
    </xf>
    <xf numFmtId="0" fontId="1" fillId="0" borderId="13" xfId="0" applyFont="1" applyBorder="1" applyAlignment="1">
      <alignment vertical="center"/>
    </xf>
    <xf numFmtId="0" fontId="1" fillId="0" borderId="15" xfId="0" applyFont="1" applyBorder="1" applyAlignment="1">
      <alignment vertical="center"/>
    </xf>
    <xf numFmtId="0" fontId="0" fillId="0" borderId="18" xfId="0" applyBorder="1" applyAlignment="1">
      <alignment horizontal="center" vertical="center"/>
    </xf>
    <xf numFmtId="0" fontId="0" fillId="5" borderId="16" xfId="0" applyFill="1" applyBorder="1" applyAlignment="1">
      <alignment horizontal="center" vertical="center"/>
    </xf>
    <xf numFmtId="167" fontId="0" fillId="0" borderId="0" xfId="0" applyNumberFormat="1"/>
    <xf numFmtId="0" fontId="0" fillId="0" borderId="0" xfId="0" applyAlignment="1">
      <alignment horizontal="left" vertical="top" wrapText="1" indent="3"/>
    </xf>
    <xf numFmtId="0" fontId="0" fillId="0" borderId="0" xfId="0" applyAlignment="1">
      <alignment vertical="top" wrapText="1"/>
    </xf>
    <xf numFmtId="0" fontId="0" fillId="0" borderId="0" xfId="0" applyAlignment="1">
      <alignment horizontal="left" vertical="center" indent="3"/>
    </xf>
    <xf numFmtId="2" fontId="7" fillId="0" borderId="0" xfId="8" applyNumberFormat="1"/>
    <xf numFmtId="2" fontId="7" fillId="0" borderId="0" xfId="9" applyNumberFormat="1"/>
    <xf numFmtId="0" fontId="0" fillId="2" borderId="5" xfId="0" applyFill="1" applyBorder="1"/>
    <xf numFmtId="0" fontId="0" fillId="0" borderId="20" xfId="0" applyBorder="1"/>
    <xf numFmtId="0" fontId="0" fillId="0" borderId="21" xfId="0" applyBorder="1"/>
    <xf numFmtId="0" fontId="0" fillId="0" borderId="22" xfId="0" applyBorder="1"/>
    <xf numFmtId="0" fontId="10" fillId="0" borderId="0" xfId="0" applyFont="1"/>
    <xf numFmtId="0" fontId="11" fillId="0" borderId="0" xfId="0" applyFont="1"/>
    <xf numFmtId="0" fontId="11" fillId="0" borderId="13" xfId="0" applyFont="1" applyBorder="1" applyAlignment="1">
      <alignment horizontal="left"/>
    </xf>
    <xf numFmtId="0" fontId="11" fillId="0" borderId="8" xfId="0" applyFont="1" applyBorder="1" applyAlignment="1">
      <alignment horizontal="left"/>
    </xf>
    <xf numFmtId="0" fontId="11" fillId="0" borderId="14" xfId="0" applyFont="1" applyBorder="1" applyAlignment="1">
      <alignment horizontal="left"/>
    </xf>
    <xf numFmtId="0" fontId="11" fillId="0" borderId="0" xfId="0" applyFont="1" applyAlignment="1">
      <alignment horizontal="left"/>
    </xf>
    <xf numFmtId="0" fontId="11" fillId="0" borderId="18" xfId="0" applyFont="1" applyBorder="1" applyAlignment="1">
      <alignment horizontal="left"/>
    </xf>
    <xf numFmtId="0" fontId="11" fillId="0" borderId="17" xfId="0" applyFont="1" applyBorder="1" applyAlignment="1">
      <alignment horizontal="left"/>
    </xf>
    <xf numFmtId="0" fontId="11" fillId="0" borderId="17" xfId="0" applyFont="1" applyBorder="1"/>
    <xf numFmtId="0" fontId="11" fillId="0" borderId="18" xfId="0" applyFont="1" applyBorder="1"/>
    <xf numFmtId="0" fontId="11" fillId="0" borderId="15" xfId="0" applyFont="1" applyBorder="1"/>
    <xf numFmtId="0" fontId="11" fillId="0" borderId="4" xfId="0" applyFont="1" applyBorder="1"/>
    <xf numFmtId="0" fontId="11" fillId="0" borderId="16" xfId="0" applyFont="1" applyBorder="1"/>
    <xf numFmtId="0" fontId="12" fillId="0" borderId="0" xfId="0" applyFont="1"/>
    <xf numFmtId="0" fontId="13" fillId="0" borderId="0" xfId="0" applyFont="1"/>
    <xf numFmtId="0" fontId="13" fillId="0" borderId="25" xfId="0" applyFont="1" applyBorder="1" applyAlignment="1">
      <alignment horizontal="center"/>
    </xf>
    <xf numFmtId="0" fontId="13" fillId="0" borderId="13" xfId="0" applyFont="1" applyBorder="1"/>
    <xf numFmtId="0" fontId="13" fillId="0" borderId="8" xfId="0" applyFont="1" applyBorder="1" applyAlignment="1">
      <alignment horizontal="center"/>
    </xf>
    <xf numFmtId="0" fontId="13" fillId="0" borderId="14" xfId="0" applyFont="1" applyBorder="1" applyAlignment="1">
      <alignment horizontal="center"/>
    </xf>
    <xf numFmtId="0" fontId="13" fillId="0" borderId="18" xfId="0" applyFont="1" applyBorder="1" applyAlignment="1">
      <alignment horizontal="center"/>
    </xf>
    <xf numFmtId="0" fontId="13" fillId="0" borderId="17" xfId="0" applyFont="1" applyBorder="1"/>
    <xf numFmtId="9" fontId="13" fillId="0" borderId="0" xfId="10" applyFont="1" applyBorder="1" applyAlignment="1">
      <alignment horizontal="center"/>
    </xf>
    <xf numFmtId="9" fontId="13" fillId="0" borderId="18" xfId="10" applyFont="1" applyBorder="1" applyAlignment="1">
      <alignment horizontal="center"/>
    </xf>
    <xf numFmtId="0" fontId="13" fillId="0" borderId="15" xfId="0" applyFont="1" applyBorder="1"/>
    <xf numFmtId="0" fontId="13" fillId="0" borderId="8" xfId="0" applyFont="1" applyBorder="1"/>
    <xf numFmtId="0" fontId="13" fillId="0" borderId="14" xfId="0" applyFont="1" applyBorder="1"/>
    <xf numFmtId="0" fontId="13" fillId="0" borderId="18" xfId="0" applyFont="1" applyBorder="1"/>
    <xf numFmtId="0" fontId="9" fillId="0" borderId="6" xfId="2" applyFont="1" applyBorder="1"/>
    <xf numFmtId="166" fontId="7" fillId="3" borderId="12" xfId="1" applyNumberFormat="1" applyFont="1" applyFill="1" applyBorder="1"/>
    <xf numFmtId="0" fontId="0" fillId="6" borderId="6" xfId="0" applyFill="1" applyBorder="1"/>
    <xf numFmtId="0" fontId="13" fillId="0" borderId="0" xfId="0" applyFont="1" applyAlignment="1">
      <alignment horizontal="center"/>
    </xf>
    <xf numFmtId="0" fontId="1" fillId="0" borderId="0" xfId="0" applyFont="1" applyAlignment="1">
      <alignment horizontal="left" vertical="center"/>
    </xf>
    <xf numFmtId="0" fontId="0" fillId="0" borderId="0" xfId="0" applyAlignment="1">
      <alignment horizontal="left" vertical="center"/>
    </xf>
    <xf numFmtId="0" fontId="0" fillId="0" borderId="0" xfId="0" applyAlignment="1">
      <alignment horizontal="left" vertical="top" wrapText="1"/>
    </xf>
    <xf numFmtId="0" fontId="1" fillId="0" borderId="0" xfId="0" applyFont="1" applyAlignment="1">
      <alignment horizontal="left" vertical="top"/>
    </xf>
    <xf numFmtId="0" fontId="1" fillId="0" borderId="21" xfId="0" applyFont="1" applyBorder="1"/>
    <xf numFmtId="0" fontId="0" fillId="6" borderId="27" xfId="0" applyFill="1" applyBorder="1"/>
    <xf numFmtId="0" fontId="0" fillId="6" borderId="0" xfId="0" applyFill="1"/>
    <xf numFmtId="0" fontId="0" fillId="0" borderId="9" xfId="0" applyBorder="1" applyAlignment="1">
      <alignment horizontal="left"/>
    </xf>
    <xf numFmtId="0" fontId="14" fillId="7" borderId="7" xfId="8" applyFont="1" applyFill="1" applyBorder="1"/>
    <xf numFmtId="0" fontId="14" fillId="8" borderId="7" xfId="8" applyFont="1" applyFill="1" applyBorder="1"/>
    <xf numFmtId="2" fontId="1" fillId="0" borderId="0" xfId="0" applyNumberFormat="1" applyFont="1"/>
    <xf numFmtId="0" fontId="1" fillId="0" borderId="0" xfId="0" applyFont="1" applyAlignment="1">
      <alignment horizontal="left"/>
    </xf>
    <xf numFmtId="0" fontId="0" fillId="0" borderId="0" xfId="0" applyAlignment="1">
      <alignment horizontal="left" indent="3"/>
    </xf>
    <xf numFmtId="0" fontId="15" fillId="0" borderId="0" xfId="0" applyFont="1"/>
    <xf numFmtId="0" fontId="0" fillId="2" borderId="7" xfId="0" applyFill="1" applyBorder="1"/>
    <xf numFmtId="0" fontId="0" fillId="0" borderId="0" xfId="0" applyAlignment="1">
      <alignment horizontal="left" vertical="top" wrapText="1" indent="2"/>
    </xf>
    <xf numFmtId="0" fontId="0" fillId="0" borderId="0" xfId="0" applyAlignment="1">
      <alignment horizontal="left" vertical="center" indent="2"/>
    </xf>
    <xf numFmtId="0" fontId="0" fillId="0" borderId="0" xfId="0" applyAlignment="1">
      <alignment horizontal="left" indent="2"/>
    </xf>
    <xf numFmtId="0" fontId="0" fillId="4" borderId="25" xfId="0" applyFill="1" applyBorder="1" applyAlignment="1">
      <alignment vertical="center"/>
    </xf>
    <xf numFmtId="2" fontId="0" fillId="0" borderId="0" xfId="0" applyNumberFormat="1" applyAlignment="1">
      <alignment horizontal="left" indent="2"/>
    </xf>
    <xf numFmtId="0" fontId="0" fillId="9" borderId="0" xfId="0" applyFill="1"/>
    <xf numFmtId="0" fontId="0" fillId="10" borderId="0" xfId="0" applyFill="1"/>
    <xf numFmtId="0" fontId="0" fillId="11" borderId="0" xfId="0" applyFill="1"/>
    <xf numFmtId="0" fontId="0" fillId="12" borderId="0" xfId="0" applyFill="1"/>
    <xf numFmtId="0" fontId="0" fillId="13" borderId="0" xfId="0" applyFill="1"/>
    <xf numFmtId="0" fontId="1" fillId="0" borderId="17" xfId="0" applyFont="1" applyBorder="1" applyAlignment="1">
      <alignment vertical="center"/>
    </xf>
    <xf numFmtId="43" fontId="0" fillId="0" borderId="0" xfId="1" applyFont="1"/>
    <xf numFmtId="164" fontId="0" fillId="0" borderId="0" xfId="1" applyNumberFormat="1" applyFont="1"/>
    <xf numFmtId="2" fontId="0" fillId="0" borderId="0" xfId="10" applyNumberFormat="1" applyFont="1"/>
    <xf numFmtId="2" fontId="8" fillId="2" borderId="0" xfId="2" applyNumberFormat="1" applyFill="1"/>
    <xf numFmtId="0" fontId="0" fillId="0" borderId="16" xfId="0" applyBorder="1" applyAlignment="1">
      <alignment horizontal="center" vertical="center"/>
    </xf>
    <xf numFmtId="3" fontId="0" fillId="0" borderId="0" xfId="0" applyNumberFormat="1" applyAlignment="1">
      <alignment horizontal="right" vertical="center" indent="2"/>
    </xf>
    <xf numFmtId="3" fontId="0" fillId="0" borderId="4" xfId="0" applyNumberFormat="1" applyBorder="1" applyAlignment="1">
      <alignment horizontal="right" vertical="center" indent="2"/>
    </xf>
    <xf numFmtId="3" fontId="0" fillId="0" borderId="0" xfId="0" applyNumberFormat="1" applyAlignment="1">
      <alignment horizontal="left" indent="11"/>
    </xf>
    <xf numFmtId="3" fontId="0" fillId="0" borderId="4" xfId="0" applyNumberFormat="1" applyBorder="1" applyAlignment="1">
      <alignment horizontal="left" indent="11"/>
    </xf>
    <xf numFmtId="0" fontId="1" fillId="0" borderId="17" xfId="0" applyFont="1" applyBorder="1" applyAlignment="1">
      <alignment wrapText="1"/>
    </xf>
    <xf numFmtId="0" fontId="0" fillId="0" borderId="0" xfId="0" applyAlignment="1">
      <alignment horizontal="right" wrapText="1"/>
    </xf>
    <xf numFmtId="0" fontId="0" fillId="0" borderId="18" xfId="0" applyBorder="1" applyAlignment="1">
      <alignment horizontal="right" wrapText="1"/>
    </xf>
    <xf numFmtId="0" fontId="0" fillId="0" borderId="4" xfId="0" applyBorder="1" applyAlignment="1">
      <alignment horizontal="right" wrapText="1"/>
    </xf>
    <xf numFmtId="0" fontId="0" fillId="0" borderId="16" xfId="0" applyBorder="1" applyAlignment="1">
      <alignment horizontal="right" wrapText="1"/>
    </xf>
    <xf numFmtId="0" fontId="0" fillId="0" borderId="8" xfId="0" applyBorder="1" applyAlignment="1">
      <alignment wrapText="1"/>
    </xf>
    <xf numFmtId="0" fontId="0" fillId="0" borderId="17" xfId="0" applyBorder="1" applyAlignment="1">
      <alignment horizontal="left" vertical="center" wrapText="1" indent="2"/>
    </xf>
    <xf numFmtId="0" fontId="0" fillId="0" borderId="15" xfId="0" applyBorder="1" applyAlignment="1">
      <alignment horizontal="left" vertical="center" wrapText="1" indent="2"/>
    </xf>
    <xf numFmtId="0" fontId="0" fillId="0" borderId="17" xfId="0" applyBorder="1" applyAlignment="1">
      <alignment horizontal="left" wrapText="1" indent="2"/>
    </xf>
    <xf numFmtId="0" fontId="0" fillId="0" borderId="15" xfId="0" applyBorder="1" applyAlignment="1">
      <alignment horizontal="left" wrapText="1" indent="2"/>
    </xf>
    <xf numFmtId="0" fontId="6" fillId="0" borderId="0" xfId="0" applyFont="1" applyAlignment="1">
      <alignment vertical="top"/>
    </xf>
    <xf numFmtId="0" fontId="0" fillId="0" borderId="0" xfId="0" applyAlignment="1">
      <alignment vertical="top"/>
    </xf>
    <xf numFmtId="2" fontId="8" fillId="0" borderId="0" xfId="2" applyNumberFormat="1"/>
    <xf numFmtId="2" fontId="7" fillId="2" borderId="0" xfId="8" applyNumberFormat="1" applyFill="1"/>
    <xf numFmtId="164" fontId="0" fillId="2" borderId="0" xfId="1" applyNumberFormat="1" applyFont="1" applyFill="1"/>
    <xf numFmtId="2" fontId="0" fillId="2" borderId="0" xfId="0" applyNumberFormat="1" applyFill="1"/>
    <xf numFmtId="0" fontId="0" fillId="3" borderId="5" xfId="0" applyFill="1" applyBorder="1"/>
    <xf numFmtId="2" fontId="0" fillId="3" borderId="6" xfId="0" applyNumberFormat="1" applyFill="1" applyBorder="1"/>
    <xf numFmtId="2" fontId="0" fillId="3" borderId="5" xfId="0" applyNumberFormat="1" applyFill="1" applyBorder="1"/>
    <xf numFmtId="2" fontId="0" fillId="3" borderId="0" xfId="0" applyNumberFormat="1" applyFill="1"/>
    <xf numFmtId="2" fontId="0" fillId="0" borderId="5" xfId="0" applyNumberFormat="1" applyBorder="1"/>
    <xf numFmtId="164" fontId="0" fillId="0" borderId="0" xfId="1" applyNumberFormat="1" applyFont="1" applyFill="1"/>
    <xf numFmtId="0" fontId="7" fillId="6" borderId="6" xfId="3" applyFill="1" applyBorder="1"/>
    <xf numFmtId="1" fontId="7" fillId="6" borderId="6" xfId="3" applyNumberFormat="1" applyFill="1" applyBorder="1"/>
    <xf numFmtId="0" fontId="7" fillId="2" borderId="0" xfId="3" applyFill="1"/>
    <xf numFmtId="1" fontId="7" fillId="2" borderId="0" xfId="3" applyNumberFormat="1" applyFill="1"/>
    <xf numFmtId="0" fontId="7" fillId="6" borderId="0" xfId="3" applyFill="1"/>
    <xf numFmtId="1" fontId="7" fillId="6" borderId="0" xfId="3" applyNumberFormat="1" applyFill="1"/>
    <xf numFmtId="0" fontId="7" fillId="2" borderId="5" xfId="3" applyFill="1" applyBorder="1"/>
    <xf numFmtId="1" fontId="7" fillId="2" borderId="5" xfId="3" applyNumberFormat="1" applyFill="1" applyBorder="1"/>
    <xf numFmtId="0" fontId="7" fillId="6" borderId="5" xfId="3" applyFill="1" applyBorder="1"/>
    <xf numFmtId="1" fontId="7" fillId="6" borderId="5" xfId="3" applyNumberFormat="1" applyFill="1" applyBorder="1"/>
    <xf numFmtId="166" fontId="7" fillId="6" borderId="12" xfId="1" applyNumberFormat="1" applyFont="1" applyFill="1" applyBorder="1"/>
    <xf numFmtId="0" fontId="0" fillId="2" borderId="10" xfId="0" applyFill="1" applyBorder="1"/>
    <xf numFmtId="0" fontId="0" fillId="2" borderId="23" xfId="0" applyFill="1" applyBorder="1"/>
    <xf numFmtId="0" fontId="0" fillId="2" borderId="24" xfId="0" applyFill="1" applyBorder="1"/>
    <xf numFmtId="0" fontId="0" fillId="2" borderId="21" xfId="0" applyFill="1" applyBorder="1"/>
    <xf numFmtId="0" fontId="0" fillId="2" borderId="22" xfId="0" applyFill="1" applyBorder="1"/>
    <xf numFmtId="0" fontId="0" fillId="2" borderId="1" xfId="0" applyFill="1" applyBorder="1"/>
    <xf numFmtId="0" fontId="0" fillId="2" borderId="28" xfId="0" applyFill="1" applyBorder="1"/>
    <xf numFmtId="0" fontId="13" fillId="2" borderId="26" xfId="0" applyFont="1" applyFill="1" applyBorder="1" applyAlignment="1">
      <alignment horizontal="left"/>
    </xf>
    <xf numFmtId="0" fontId="13" fillId="2" borderId="25" xfId="0" applyFont="1" applyFill="1" applyBorder="1" applyAlignment="1">
      <alignment horizontal="left"/>
    </xf>
    <xf numFmtId="9" fontId="13" fillId="0" borderId="0" xfId="10" applyFont="1"/>
    <xf numFmtId="9" fontId="13" fillId="0" borderId="18" xfId="10" applyFont="1" applyBorder="1"/>
    <xf numFmtId="9" fontId="13" fillId="0" borderId="4" xfId="10" applyFont="1" applyBorder="1"/>
    <xf numFmtId="9" fontId="13" fillId="0" borderId="16" xfId="10" applyFont="1" applyBorder="1"/>
    <xf numFmtId="9" fontId="0" fillId="0" borderId="0" xfId="10" applyFont="1" applyAlignment="1">
      <alignment horizontal="left" vertical="center"/>
    </xf>
    <xf numFmtId="10" fontId="0" fillId="0" borderId="0" xfId="10" applyNumberFormat="1" applyFont="1" applyAlignment="1">
      <alignment horizontal="center" vertical="center"/>
    </xf>
    <xf numFmtId="10" fontId="0" fillId="0" borderId="4" xfId="10" applyNumberFormat="1" applyFont="1" applyBorder="1" applyAlignment="1">
      <alignment horizontal="center" vertical="center"/>
    </xf>
    <xf numFmtId="0" fontId="16" fillId="0" borderId="0" xfId="0" applyFont="1" applyAlignment="1">
      <alignment horizontal="left" vertical="center"/>
    </xf>
    <xf numFmtId="164" fontId="7" fillId="0" borderId="0" xfId="1" applyNumberFormat="1" applyFont="1" applyFill="1"/>
    <xf numFmtId="164" fontId="7" fillId="2" borderId="0" xfId="1" applyNumberFormat="1" applyFont="1" applyFill="1"/>
    <xf numFmtId="43" fontId="7" fillId="0" borderId="0" xfId="1" applyFont="1"/>
    <xf numFmtId="43" fontId="7" fillId="2" borderId="0" xfId="1" applyFont="1" applyFill="1"/>
    <xf numFmtId="9" fontId="0" fillId="0" borderId="0" xfId="10" applyFont="1" applyAlignment="1">
      <alignment horizontal="left" vertical="center" indent="2"/>
    </xf>
    <xf numFmtId="0" fontId="14" fillId="0" borderId="0" xfId="11" applyFont="1" applyBorder="1" applyAlignment="1">
      <alignment wrapText="1"/>
    </xf>
    <xf numFmtId="0" fontId="18" fillId="0" borderId="0" xfId="0" applyFont="1"/>
    <xf numFmtId="0" fontId="19" fillId="0" borderId="0" xfId="0" applyFont="1"/>
    <xf numFmtId="0" fontId="20" fillId="0" borderId="0" xfId="11" applyFont="1" applyAlignment="1">
      <alignment wrapText="1"/>
    </xf>
    <xf numFmtId="0" fontId="2" fillId="0" borderId="0" xfId="0" applyFont="1" applyAlignment="1">
      <alignment horizontal="left" vertical="center" wrapText="1"/>
    </xf>
    <xf numFmtId="0" fontId="14" fillId="0" borderId="0" xfId="11" applyFont="1" applyAlignment="1">
      <alignment wrapText="1"/>
    </xf>
    <xf numFmtId="0" fontId="22" fillId="0" borderId="0" xfId="11" applyFont="1" applyAlignment="1">
      <alignment wrapText="1"/>
    </xf>
    <xf numFmtId="0" fontId="14" fillId="0" borderId="0" xfId="0" applyFont="1"/>
    <xf numFmtId="0" fontId="18" fillId="0" borderId="0" xfId="0" applyFont="1" applyAlignment="1">
      <alignment horizontal="left"/>
    </xf>
    <xf numFmtId="0" fontId="14" fillId="0" borderId="0" xfId="0" applyFont="1" applyAlignment="1">
      <alignment wrapText="1"/>
    </xf>
    <xf numFmtId="0" fontId="3" fillId="0" borderId="0" xfId="0" applyFont="1"/>
    <xf numFmtId="0" fontId="25" fillId="0" borderId="0" xfId="12"/>
    <xf numFmtId="168" fontId="25" fillId="0" borderId="0" xfId="12" applyNumberFormat="1"/>
    <xf numFmtId="0" fontId="26" fillId="0" borderId="0" xfId="0" applyFont="1"/>
    <xf numFmtId="0" fontId="14" fillId="0" borderId="0" xfId="0" applyFont="1" applyAlignment="1">
      <alignment horizontal="left" wrapText="1" indent="2"/>
    </xf>
    <xf numFmtId="0" fontId="17" fillId="0" borderId="0" xfId="11" applyAlignment="1">
      <alignment vertical="top" wrapText="1"/>
    </xf>
    <xf numFmtId="0" fontId="29" fillId="0" borderId="0" xfId="0" applyFont="1"/>
    <xf numFmtId="0" fontId="25" fillId="2" borderId="0" xfId="12" applyFill="1"/>
    <xf numFmtId="0" fontId="0" fillId="6" borderId="29" xfId="0" applyFill="1" applyBorder="1"/>
    <xf numFmtId="9" fontId="13" fillId="0" borderId="0" xfId="10" applyFont="1" applyBorder="1"/>
    <xf numFmtId="9" fontId="13" fillId="0" borderId="8" xfId="10" applyFont="1" applyBorder="1"/>
    <xf numFmtId="0" fontId="1" fillId="0" borderId="0" xfId="0" applyFont="1" applyAlignment="1">
      <alignment horizontal="left" vertical="top" wrapText="1"/>
    </xf>
    <xf numFmtId="9" fontId="25" fillId="0" borderId="0" xfId="13" applyFont="1" applyAlignment="1">
      <alignment horizontal="right"/>
    </xf>
    <xf numFmtId="9" fontId="25" fillId="0" borderId="0" xfId="13" applyFont="1"/>
    <xf numFmtId="0" fontId="1" fillId="0" borderId="0" xfId="0" applyFont="1" applyAlignment="1">
      <alignment wrapText="1"/>
    </xf>
    <xf numFmtId="0" fontId="19" fillId="0" borderId="0" xfId="0" applyFont="1" applyAlignment="1">
      <alignment horizontal="left" vertical="top" wrapText="1"/>
    </xf>
    <xf numFmtId="0" fontId="0" fillId="14" borderId="7" xfId="0" applyFill="1" applyBorder="1"/>
    <xf numFmtId="0" fontId="0" fillId="14" borderId="0" xfId="0" applyFill="1"/>
    <xf numFmtId="0" fontId="0" fillId="14" borderId="19" xfId="0" applyFill="1" applyBorder="1"/>
    <xf numFmtId="0" fontId="0" fillId="14" borderId="7" xfId="0" applyFill="1" applyBorder="1" applyAlignment="1">
      <alignment vertical="top"/>
    </xf>
    <xf numFmtId="0" fontId="1" fillId="15" borderId="7" xfId="0" applyFont="1" applyFill="1" applyBorder="1"/>
    <xf numFmtId="0" fontId="1" fillId="0" borderId="7" xfId="0" applyFont="1" applyBorder="1" applyAlignment="1">
      <alignment vertical="top" wrapText="1"/>
    </xf>
    <xf numFmtId="0" fontId="0" fillId="0" borderId="7" xfId="0" applyBorder="1" applyAlignment="1">
      <alignment vertical="top" wrapText="1"/>
    </xf>
    <xf numFmtId="0" fontId="0" fillId="0" borderId="0" xfId="0" applyAlignment="1">
      <alignment horizontal="left" wrapText="1"/>
    </xf>
    <xf numFmtId="9" fontId="25" fillId="0" borderId="0" xfId="10" applyFont="1"/>
    <xf numFmtId="0" fontId="0" fillId="0" borderId="14" xfId="0" applyBorder="1"/>
    <xf numFmtId="0" fontId="0" fillId="0" borderId="16" xfId="0" applyBorder="1"/>
    <xf numFmtId="0" fontId="1" fillId="0" borderId="13" xfId="0" applyFont="1" applyBorder="1"/>
    <xf numFmtId="0" fontId="1" fillId="0" borderId="15" xfId="0" applyFont="1" applyBorder="1"/>
    <xf numFmtId="0" fontId="0" fillId="6" borderId="33" xfId="0" applyFill="1" applyBorder="1"/>
    <xf numFmtId="0" fontId="0" fillId="6" borderId="28" xfId="0" applyFill="1" applyBorder="1"/>
    <xf numFmtId="0" fontId="0" fillId="6" borderId="0" xfId="0" applyFill="1" applyAlignment="1">
      <alignment horizontal="right"/>
    </xf>
    <xf numFmtId="0" fontId="30" fillId="0" borderId="0" xfId="0" applyFont="1" applyAlignment="1">
      <alignment horizontal="left" indent="2"/>
    </xf>
    <xf numFmtId="0" fontId="31" fillId="0" borderId="0" xfId="0" applyFont="1"/>
    <xf numFmtId="0" fontId="26" fillId="0" borderId="7" xfId="0" applyFont="1" applyBorder="1" applyAlignment="1">
      <alignment vertical="top" wrapText="1"/>
    </xf>
    <xf numFmtId="0" fontId="14" fillId="0" borderId="7" xfId="0" applyFont="1" applyBorder="1" applyAlignment="1">
      <alignment vertical="top" wrapText="1"/>
    </xf>
    <xf numFmtId="0" fontId="14" fillId="0" borderId="0" xfId="0" applyFont="1" applyAlignment="1">
      <alignment horizontal="left" indent="2"/>
    </xf>
    <xf numFmtId="0" fontId="26" fillId="0" borderId="0" xfId="0" applyFont="1" applyAlignment="1">
      <alignment horizontal="left" vertical="top" wrapText="1"/>
    </xf>
    <xf numFmtId="0" fontId="14" fillId="0" borderId="0" xfId="0" applyFont="1" applyAlignment="1">
      <alignment horizontal="left" vertical="top" wrapText="1"/>
    </xf>
    <xf numFmtId="0" fontId="25" fillId="16" borderId="0" xfId="12" applyFill="1" applyAlignment="1">
      <alignment vertical="center"/>
    </xf>
    <xf numFmtId="0" fontId="7" fillId="16" borderId="0" xfId="12" applyFont="1" applyFill="1" applyAlignment="1">
      <alignment vertical="center" wrapText="1"/>
    </xf>
    <xf numFmtId="0" fontId="25" fillId="16" borderId="0" xfId="12" applyFill="1" applyAlignment="1">
      <alignment wrapText="1"/>
    </xf>
    <xf numFmtId="0" fontId="25" fillId="16" borderId="15" xfId="12" applyFill="1" applyBorder="1" applyAlignment="1">
      <alignment wrapText="1"/>
    </xf>
    <xf numFmtId="0" fontId="25" fillId="16" borderId="4" xfId="12" applyFill="1" applyBorder="1" applyAlignment="1">
      <alignment wrapText="1"/>
    </xf>
    <xf numFmtId="0" fontId="7" fillId="16" borderId="16" xfId="12" applyFont="1" applyFill="1" applyBorder="1" applyAlignment="1">
      <alignment wrapText="1"/>
    </xf>
    <xf numFmtId="0" fontId="25" fillId="16" borderId="16" xfId="12" applyFill="1" applyBorder="1" applyAlignment="1">
      <alignment wrapText="1"/>
    </xf>
    <xf numFmtId="0" fontId="7" fillId="16" borderId="15" xfId="12" applyFont="1" applyFill="1" applyBorder="1" applyAlignment="1">
      <alignment wrapText="1"/>
    </xf>
    <xf numFmtId="0" fontId="7" fillId="16" borderId="4" xfId="12" applyFont="1" applyFill="1" applyBorder="1" applyAlignment="1">
      <alignment wrapText="1"/>
    </xf>
    <xf numFmtId="0" fontId="0" fillId="16" borderId="13" xfId="0" applyFill="1" applyBorder="1"/>
    <xf numFmtId="0" fontId="0" fillId="16" borderId="8" xfId="0" applyFill="1" applyBorder="1"/>
    <xf numFmtId="0" fontId="0" fillId="16" borderId="14" xfId="0" applyFill="1" applyBorder="1"/>
    <xf numFmtId="0" fontId="14" fillId="0" borderId="0" xfId="0" applyFont="1" applyAlignment="1">
      <alignment vertical="top" wrapText="1"/>
    </xf>
    <xf numFmtId="0" fontId="22" fillId="0" borderId="0" xfId="0" applyFont="1" applyAlignment="1">
      <alignment vertical="top" wrapText="1"/>
    </xf>
    <xf numFmtId="0" fontId="20" fillId="0" borderId="0" xfId="11" quotePrefix="1" applyFont="1" applyAlignment="1">
      <alignment wrapText="1"/>
    </xf>
    <xf numFmtId="0" fontId="14" fillId="0" borderId="0" xfId="0" applyFont="1" applyAlignment="1">
      <alignment horizontal="left" vertical="top" wrapText="1" indent="2"/>
    </xf>
    <xf numFmtId="0" fontId="0" fillId="14" borderId="30" xfId="0" applyFill="1" applyBorder="1" applyAlignment="1">
      <alignment horizontal="left" vertical="top"/>
    </xf>
    <xf numFmtId="0" fontId="0" fillId="14" borderId="31" xfId="0" applyFill="1" applyBorder="1" applyAlignment="1">
      <alignment horizontal="left" vertical="top"/>
    </xf>
    <xf numFmtId="0" fontId="0" fillId="14" borderId="32" xfId="0" applyFill="1" applyBorder="1" applyAlignment="1">
      <alignment horizontal="left" vertical="top"/>
    </xf>
    <xf numFmtId="0" fontId="0" fillId="14" borderId="7" xfId="0" applyFill="1" applyBorder="1" applyAlignment="1">
      <alignment horizontal="left" wrapText="1"/>
    </xf>
    <xf numFmtId="0" fontId="0" fillId="14" borderId="7" xfId="0" applyFill="1" applyBorder="1"/>
    <xf numFmtId="0" fontId="0" fillId="14" borderId="7" xfId="0" applyFill="1" applyBorder="1" applyAlignment="1">
      <alignment horizontal="left"/>
    </xf>
    <xf numFmtId="14" fontId="0" fillId="14" borderId="7" xfId="0" applyNumberFormat="1" applyFill="1" applyBorder="1" applyAlignment="1">
      <alignment horizontal="left"/>
    </xf>
    <xf numFmtId="0" fontId="14" fillId="0" borderId="0" xfId="11" applyFont="1" applyAlignment="1">
      <alignment vertical="top" wrapText="1"/>
    </xf>
    <xf numFmtId="0" fontId="17" fillId="0" borderId="0" xfId="11" applyAlignment="1">
      <alignment vertical="top" wrapText="1"/>
    </xf>
    <xf numFmtId="0" fontId="0" fillId="0" borderId="0" xfId="0" applyAlignment="1">
      <alignment horizontal="center"/>
    </xf>
    <xf numFmtId="0" fontId="0" fillId="0" borderId="0" xfId="0" applyAlignment="1">
      <alignment horizontal="left" wrapText="1"/>
    </xf>
    <xf numFmtId="0" fontId="0" fillId="0" borderId="0" xfId="0" applyAlignment="1">
      <alignment horizontal="left" vertical="top" wrapText="1" indent="2"/>
    </xf>
    <xf numFmtId="0" fontId="32" fillId="16" borderId="13" xfId="0" applyFont="1" applyFill="1" applyBorder="1" applyAlignment="1">
      <alignment horizontal="center"/>
    </xf>
    <xf numFmtId="0" fontId="32" fillId="16" borderId="8" xfId="0" applyFont="1" applyFill="1" applyBorder="1" applyAlignment="1">
      <alignment horizontal="center"/>
    </xf>
    <xf numFmtId="0" fontId="32" fillId="16" borderId="14" xfId="0" applyFont="1" applyFill="1" applyBorder="1" applyAlignment="1">
      <alignment horizontal="center"/>
    </xf>
    <xf numFmtId="0" fontId="0" fillId="0" borderId="0" xfId="0" applyAlignment="1">
      <alignment horizontal="left" vertical="top" wrapText="1"/>
    </xf>
    <xf numFmtId="0" fontId="1" fillId="0" borderId="8" xfId="0" applyFont="1" applyBorder="1" applyAlignment="1">
      <alignment horizontal="center" vertical="center" wrapText="1"/>
    </xf>
    <xf numFmtId="0" fontId="1" fillId="0" borderId="4" xfId="0" applyFont="1" applyBorder="1" applyAlignment="1">
      <alignment horizontal="center" vertical="center" wrapText="1"/>
    </xf>
    <xf numFmtId="0" fontId="1" fillId="0" borderId="13" xfId="0" applyFont="1" applyBorder="1" applyAlignment="1">
      <alignment horizontal="left" vertical="center"/>
    </xf>
    <xf numFmtId="0" fontId="1" fillId="0" borderId="15" xfId="0" applyFont="1" applyBorder="1" applyAlignment="1">
      <alignment horizontal="left" vertical="center"/>
    </xf>
    <xf numFmtId="0" fontId="1" fillId="0" borderId="0" xfId="0" applyFont="1" applyAlignment="1">
      <alignment horizontal="left" vertical="top" wrapText="1"/>
    </xf>
    <xf numFmtId="1" fontId="1" fillId="0" borderId="14" xfId="0" applyNumberFormat="1" applyFont="1" applyBorder="1" applyAlignment="1">
      <alignment horizontal="left" vertical="top" wrapText="1"/>
    </xf>
    <xf numFmtId="1" fontId="1" fillId="0" borderId="16" xfId="0" applyNumberFormat="1" applyFont="1" applyBorder="1" applyAlignment="1">
      <alignment horizontal="left" vertical="top" wrapText="1"/>
    </xf>
    <xf numFmtId="1" fontId="1" fillId="0" borderId="18" xfId="0" applyNumberFormat="1" applyFont="1" applyBorder="1" applyAlignment="1">
      <alignment horizontal="left" vertical="top" wrapText="1"/>
    </xf>
    <xf numFmtId="0" fontId="0" fillId="4" borderId="9" xfId="0" applyFill="1" applyBorder="1" applyAlignment="1">
      <alignment horizontal="left" vertical="center"/>
    </xf>
    <xf numFmtId="0" fontId="0" fillId="4" borderId="11" xfId="0" applyFill="1" applyBorder="1" applyAlignment="1">
      <alignment horizontal="left" vertical="center"/>
    </xf>
    <xf numFmtId="0" fontId="0" fillId="4" borderId="10" xfId="0" applyFill="1" applyBorder="1" applyAlignment="1">
      <alignment horizontal="left" vertical="center"/>
    </xf>
    <xf numFmtId="0" fontId="1" fillId="0" borderId="0" xfId="0" applyFont="1" applyAlignment="1">
      <alignment horizontal="left" vertical="center" wrapText="1"/>
    </xf>
    <xf numFmtId="0" fontId="1" fillId="0" borderId="0" xfId="0" applyFont="1" applyAlignment="1">
      <alignment horizontal="center" vertical="center" wrapText="1"/>
    </xf>
    <xf numFmtId="0" fontId="1" fillId="0" borderId="13" xfId="0" applyFont="1" applyBorder="1" applyAlignment="1">
      <alignment horizontal="center" vertical="center" wrapText="1"/>
    </xf>
    <xf numFmtId="0" fontId="1" fillId="0" borderId="15" xfId="0" applyFont="1" applyBorder="1" applyAlignment="1">
      <alignment horizontal="center" vertical="center" wrapText="1"/>
    </xf>
  </cellXfs>
  <cellStyles count="14">
    <cellStyle name="Comma" xfId="1" builtinId="3"/>
    <cellStyle name="Comma 2" xfId="5" xr:uid="{221A54DD-D245-4A33-88CC-1A0F1FC897C9}"/>
    <cellStyle name="Hyperlink" xfId="11" builtinId="8"/>
    <cellStyle name="Normal" xfId="0" builtinId="0"/>
    <cellStyle name="Normal 2" xfId="2" xr:uid="{00000000-0005-0000-0000-000002000000}"/>
    <cellStyle name="Normal 2 2" xfId="7" xr:uid="{EF70D076-A1BC-4259-9FA6-DE832F22CE5A}"/>
    <cellStyle name="Normal 3" xfId="3" xr:uid="{00000000-0005-0000-0000-000003000000}"/>
    <cellStyle name="Normal 4" xfId="4" xr:uid="{460D95CC-9959-4A4C-9ACE-B050C977CF45}"/>
    <cellStyle name="Normal 5" xfId="8" xr:uid="{6C7C1982-BA55-4A50-8A7C-1FA9FC741636}"/>
    <cellStyle name="Normal 6" xfId="9" xr:uid="{2A3937BB-88A5-442B-8C67-5791FBB51F9C}"/>
    <cellStyle name="Normal 7" xfId="12" xr:uid="{C887F68D-46C0-4469-BC8C-FF2CC980D1EA}"/>
    <cellStyle name="Percent" xfId="10" builtinId="5"/>
    <cellStyle name="Percent 2" xfId="6" xr:uid="{C094E91C-CD96-4F18-99B9-A9ADF3E25235}"/>
    <cellStyle name="Percent 3" xfId="13" xr:uid="{EF7D3AAA-E0D7-4795-BE22-0C128E40100E}"/>
  </cellStyles>
  <dxfs count="31">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0"/>
        </patternFill>
      </fill>
    </dxf>
    <dxf>
      <font>
        <color auto="1"/>
      </font>
      <fill>
        <patternFill>
          <bgColor theme="0"/>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patternType="solid">
          <fgColor indexed="64"/>
          <bgColor rgb="FFB7D311"/>
        </patternFill>
      </fill>
      <alignment horizontal="general" vertical="bottom" textRotation="0" wrapText="1" indent="0" justifyLastLine="0" shrinkToFit="0" readingOrder="0"/>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ill>
        <patternFill patternType="solid">
          <fgColor indexed="64"/>
          <bgColor rgb="FFB7D311"/>
        </patternFill>
      </fill>
    </dxf>
  </dxfs>
  <tableStyles count="0" defaultTableStyle="TableStyleMedium2" defaultPivotStyle="PivotStyleLight16"/>
  <colors>
    <mruColors>
      <color rgb="FFB7D311"/>
      <color rgb="FF29696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sheetMetadata" Target="metadata.xml"/><Relationship Id="rId45"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data_staging_longitudinal!$B$33</c:f>
              <c:strCache>
                <c:ptCount val="1"/>
                <c:pt idx="0">
                  <c:v>Denominator (right axis)</c:v>
                </c:pt>
              </c:strCache>
            </c:strRef>
          </c:tx>
          <c:spPr>
            <a:solidFill>
              <a:schemeClr val="bg2"/>
            </a:solidFill>
            <a:ln>
              <a:noFill/>
            </a:ln>
            <a:effectLst/>
          </c:spPr>
          <c:invertIfNegative val="0"/>
          <c:cat>
            <c:multiLvlStrRef>
              <c:f>Lists!$A$54:$L$55</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2021</c:v>
                  </c:pt>
                  <c:pt idx="3">
                    <c:v>2022</c:v>
                  </c:pt>
                  <c:pt idx="7">
                    <c:v>2023</c:v>
                  </c:pt>
                  <c:pt idx="11">
                    <c:v>2024</c:v>
                  </c:pt>
                </c:lvl>
              </c:multiLvlStrCache>
            </c:multiLvlStrRef>
          </c:cat>
          <c:val>
            <c:numRef>
              <c:f>data_staging_longitudinal!$C$33:$N$33</c:f>
              <c:numCache>
                <c:formatCode>General</c:formatCode>
                <c:ptCount val="12"/>
                <c:pt idx="0">
                  <c:v>2237</c:v>
                </c:pt>
                <c:pt idx="1">
                  <c:v>2199</c:v>
                </c:pt>
                <c:pt idx="2">
                  <c:v>2269</c:v>
                </c:pt>
                <c:pt idx="3">
                  <c:v>2122</c:v>
                </c:pt>
                <c:pt idx="4">
                  <c:v>2097</c:v>
                </c:pt>
                <c:pt idx="5">
                  <c:v>2239</c:v>
                </c:pt>
                <c:pt idx="6">
                  <c:v>2172</c:v>
                </c:pt>
                <c:pt idx="7">
                  <c:v>2322</c:v>
                </c:pt>
                <c:pt idx="8">
                  <c:v>2371</c:v>
                </c:pt>
                <c:pt idx="9">
                  <c:v>2458</c:v>
                </c:pt>
                <c:pt idx="10">
                  <c:v>2720</c:v>
                </c:pt>
                <c:pt idx="11">
                  <c:v>2702</c:v>
                </c:pt>
              </c:numCache>
            </c:numRef>
          </c:val>
          <c:extLst>
            <c:ext xmlns:c16="http://schemas.microsoft.com/office/drawing/2014/chart" uri="{C3380CC4-5D6E-409C-BE32-E72D297353CC}">
              <c16:uniqueId val="{00000000-0EA5-4286-913C-C77E0D3BF4CC}"/>
            </c:ext>
          </c:extLst>
        </c:ser>
        <c:dLbls>
          <c:showLegendKey val="0"/>
          <c:showVal val="0"/>
          <c:showCatName val="0"/>
          <c:showSerName val="0"/>
          <c:showPercent val="0"/>
          <c:showBubbleSize val="0"/>
        </c:dLbls>
        <c:gapWidth val="150"/>
        <c:axId val="1186537568"/>
        <c:axId val="1186539488"/>
      </c:barChart>
      <c:lineChart>
        <c:grouping val="standard"/>
        <c:varyColors val="0"/>
        <c:ser>
          <c:idx val="1"/>
          <c:order val="1"/>
          <c:tx>
            <c:strRef>
              <c:f>data_staging_longitudinal!$B$34</c:f>
              <c:strCache>
                <c:ptCount val="1"/>
                <c:pt idx="0">
                  <c:v>Proportion (left axis)</c:v>
                </c:pt>
              </c:strCache>
            </c:strRef>
          </c:tx>
          <c:spPr>
            <a:ln w="25400" cap="rnd">
              <a:noFill/>
              <a:round/>
            </a:ln>
            <a:effectLst/>
          </c:spPr>
          <c:marker>
            <c:symbol val="circle"/>
            <c:size val="5"/>
            <c:spPr>
              <a:solidFill>
                <a:srgbClr val="29696A"/>
              </a:solidFill>
              <a:ln w="9525">
                <a:solidFill>
                  <a:srgbClr val="29696A"/>
                </a:solidFill>
              </a:ln>
              <a:effectLst/>
            </c:spPr>
          </c:marker>
          <c:cat>
            <c:multiLvlStrRef>
              <c:f>Lists!$A$54:$L$55</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2021</c:v>
                  </c:pt>
                  <c:pt idx="3">
                    <c:v>2022</c:v>
                  </c:pt>
                  <c:pt idx="7">
                    <c:v>2023</c:v>
                  </c:pt>
                  <c:pt idx="11">
                    <c:v>2024</c:v>
                  </c:pt>
                </c:lvl>
              </c:multiLvlStrCache>
            </c:multiLvlStrRef>
          </c:cat>
          <c:val>
            <c:numRef>
              <c:f>data_staging_longitudinal!$C$34:$N$34</c:f>
              <c:numCache>
                <c:formatCode>0%</c:formatCode>
                <c:ptCount val="12"/>
                <c:pt idx="0">
                  <c:v>0.47206079959869385</c:v>
                </c:pt>
                <c:pt idx="1">
                  <c:v>0.45520690083503723</c:v>
                </c:pt>
                <c:pt idx="2">
                  <c:v>0.4446893036365509</c:v>
                </c:pt>
                <c:pt idx="3">
                  <c:v>0.44627711176872253</c:v>
                </c:pt>
                <c:pt idx="4">
                  <c:v>0.47782546281814575</c:v>
                </c:pt>
                <c:pt idx="5">
                  <c:v>0.47923180460929871</c:v>
                </c:pt>
                <c:pt idx="6">
                  <c:v>0.52255988121032715</c:v>
                </c:pt>
                <c:pt idx="7">
                  <c:v>0.52239447832107544</c:v>
                </c:pt>
                <c:pt idx="8">
                  <c:v>0.53353017568588257</c:v>
                </c:pt>
                <c:pt idx="9">
                  <c:v>0.52969896793365479</c:v>
                </c:pt>
                <c:pt idx="10">
                  <c:v>0.50955879688262939</c:v>
                </c:pt>
                <c:pt idx="11">
                  <c:v>0.53441894054412842</c:v>
                </c:pt>
              </c:numCache>
            </c:numRef>
          </c:val>
          <c:smooth val="0"/>
          <c:extLst>
            <c:ext xmlns:c16="http://schemas.microsoft.com/office/drawing/2014/chart" uri="{C3380CC4-5D6E-409C-BE32-E72D297353CC}">
              <c16:uniqueId val="{00000001-0EA5-4286-913C-C77E0D3BF4CC}"/>
            </c:ext>
          </c:extLst>
        </c:ser>
        <c:ser>
          <c:idx val="5"/>
          <c:order val="2"/>
          <c:tx>
            <c:strRef>
              <c:f>data_staging_longitudinal!$B$36</c:f>
              <c:strCache>
                <c:ptCount val="1"/>
                <c:pt idx="0">
                  <c:v>Target (left axis)</c:v>
                </c:pt>
              </c:strCache>
            </c:strRef>
          </c:tx>
          <c:spPr>
            <a:ln w="19050" cap="rnd">
              <a:solidFill>
                <a:srgbClr val="29696A"/>
              </a:solidFill>
              <a:prstDash val="lgDash"/>
              <a:round/>
            </a:ln>
            <a:effectLst/>
          </c:spPr>
          <c:marker>
            <c:symbol val="none"/>
          </c:marker>
          <c:cat>
            <c:multiLvlStrRef>
              <c:f>Lists!$A$54:$L$55</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2021</c:v>
                  </c:pt>
                  <c:pt idx="3">
                    <c:v>2022</c:v>
                  </c:pt>
                  <c:pt idx="7">
                    <c:v>2023</c:v>
                  </c:pt>
                  <c:pt idx="11">
                    <c:v>2024</c:v>
                  </c:pt>
                </c:lvl>
              </c:multiLvlStrCache>
            </c:multiLvlStrRef>
          </c:cat>
          <c:val>
            <c:numRef>
              <c:f>data_staging_longitudinal!$C$36:$N$36</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4-0EA5-4286-913C-C77E0D3BF4CC}"/>
            </c:ext>
          </c:extLst>
        </c:ser>
        <c:ser>
          <c:idx val="4"/>
          <c:order val="3"/>
          <c:tx>
            <c:strRef>
              <c:f>data_staging_longitudinal!$B$35</c:f>
              <c:strCache>
                <c:ptCount val="1"/>
                <c:pt idx="0">
                  <c:v>Moving average (left axis)</c:v>
                </c:pt>
              </c:strCache>
            </c:strRef>
          </c:tx>
          <c:spPr>
            <a:ln w="28575" cap="rnd">
              <a:solidFill>
                <a:srgbClr val="29696A"/>
              </a:solidFill>
              <a:round/>
            </a:ln>
            <a:effectLst/>
          </c:spPr>
          <c:marker>
            <c:symbol val="none"/>
          </c:marker>
          <c:cat>
            <c:multiLvlStrRef>
              <c:f>Lists!$A$54:$L$55</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2021</c:v>
                  </c:pt>
                  <c:pt idx="3">
                    <c:v>2022</c:v>
                  </c:pt>
                  <c:pt idx="7">
                    <c:v>2023</c:v>
                  </c:pt>
                  <c:pt idx="11">
                    <c:v>2024</c:v>
                  </c:pt>
                </c:lvl>
              </c:multiLvlStrCache>
            </c:multiLvlStrRef>
          </c:cat>
          <c:val>
            <c:numRef>
              <c:f>data_staging_longitudinal!$C$35:$N$35</c:f>
              <c:numCache>
                <c:formatCode>0%</c:formatCode>
                <c:ptCount val="12"/>
                <c:pt idx="0">
                  <c:v>0.46370604634284973</c:v>
                </c:pt>
                <c:pt idx="1">
                  <c:v>0.45727068185806274</c:v>
                </c:pt>
                <c:pt idx="2">
                  <c:v>0.44871017336845398</c:v>
                </c:pt>
                <c:pt idx="3">
                  <c:v>0.45591861009597778</c:v>
                </c:pt>
                <c:pt idx="4">
                  <c:v>0.46794673800468445</c:v>
                </c:pt>
                <c:pt idx="5">
                  <c:v>0.49323910474777222</c:v>
                </c:pt>
                <c:pt idx="6">
                  <c:v>0.50809448957443237</c:v>
                </c:pt>
                <c:pt idx="7">
                  <c:v>0.52629280090332031</c:v>
                </c:pt>
                <c:pt idx="8">
                  <c:v>0.52859741449356079</c:v>
                </c:pt>
                <c:pt idx="9">
                  <c:v>0.52364552021026611</c:v>
                </c:pt>
                <c:pt idx="10">
                  <c:v>0.52436548471450806</c:v>
                </c:pt>
                <c:pt idx="11">
                  <c:v>0.52194762229919434</c:v>
                </c:pt>
              </c:numCache>
            </c:numRef>
          </c:val>
          <c:smooth val="0"/>
          <c:extLst>
            <c:ext xmlns:c16="http://schemas.microsoft.com/office/drawing/2014/chart" uri="{C3380CC4-5D6E-409C-BE32-E72D297353CC}">
              <c16:uniqueId val="{00000005-0EA5-4286-913C-C77E0D3BF4CC}"/>
            </c:ext>
          </c:extLst>
        </c:ser>
        <c:ser>
          <c:idx val="2"/>
          <c:order val="4"/>
          <c:tx>
            <c:strRef>
              <c:f>data_staging_longitudinal!$B$37</c:f>
              <c:strCache>
                <c:ptCount val="1"/>
                <c:pt idx="0">
                  <c:v>Lower limit (left axis)</c:v>
                </c:pt>
              </c:strCache>
            </c:strRef>
          </c:tx>
          <c:spPr>
            <a:ln w="19050" cap="flat" cmpd="sng" algn="ctr">
              <a:solidFill>
                <a:schemeClr val="accent1"/>
              </a:solidFill>
              <a:prstDash val="dash"/>
              <a:miter lim="800000"/>
            </a:ln>
            <a:effectLst/>
          </c:spPr>
          <c:marker>
            <c:symbol val="none"/>
          </c:marker>
          <c:cat>
            <c:multiLvlStrRef>
              <c:f>Lists!$A$54:$L$55</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2021</c:v>
                  </c:pt>
                  <c:pt idx="3">
                    <c:v>2022</c:v>
                  </c:pt>
                  <c:pt idx="7">
                    <c:v>2023</c:v>
                  </c:pt>
                  <c:pt idx="11">
                    <c:v>2024</c:v>
                  </c:pt>
                </c:lvl>
              </c:multiLvlStrCache>
            </c:multiLvlStrRef>
          </c:cat>
          <c:val>
            <c:numRef>
              <c:f>data_staging_longitudinal!$C$37:$N$37</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1-5F2D-42AD-8B74-63834C897E76}"/>
            </c:ext>
          </c:extLst>
        </c:ser>
        <c:ser>
          <c:idx val="3"/>
          <c:order val="5"/>
          <c:tx>
            <c:strRef>
              <c:f>data_staging_longitudinal!$B$38</c:f>
              <c:strCache>
                <c:ptCount val="1"/>
                <c:pt idx="0">
                  <c:v>Upper limit (left axis)</c:v>
                </c:pt>
              </c:strCache>
            </c:strRef>
          </c:tx>
          <c:spPr>
            <a:ln w="19050" cap="flat" cmpd="sng" algn="ctr">
              <a:solidFill>
                <a:schemeClr val="accent1"/>
              </a:solidFill>
              <a:prstDash val="dash"/>
              <a:miter lim="800000"/>
            </a:ln>
            <a:effectLst/>
          </c:spPr>
          <c:marker>
            <c:symbol val="none"/>
          </c:marker>
          <c:cat>
            <c:multiLvlStrRef>
              <c:f>Lists!$A$54:$L$55</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2021</c:v>
                  </c:pt>
                  <c:pt idx="3">
                    <c:v>2022</c:v>
                  </c:pt>
                  <c:pt idx="7">
                    <c:v>2023</c:v>
                  </c:pt>
                  <c:pt idx="11">
                    <c:v>2024</c:v>
                  </c:pt>
                </c:lvl>
              </c:multiLvlStrCache>
            </c:multiLvlStrRef>
          </c:cat>
          <c:val>
            <c:numRef>
              <c:f>data_staging_longitudinal!$C$38:$N$38</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2-5F2D-42AD-8B74-63834C897E76}"/>
            </c:ext>
          </c:extLst>
        </c:ser>
        <c:ser>
          <c:idx val="6"/>
          <c:order val="6"/>
          <c:tx>
            <c:strRef>
              <c:f>data_staging_longitudinal!$B$39</c:f>
              <c:strCache>
                <c:ptCount val="1"/>
                <c:pt idx="0">
                  <c:v>Time series (left axis)</c:v>
                </c:pt>
              </c:strCache>
            </c:strRef>
          </c:tx>
          <c:spPr>
            <a:ln w="25400" cap="rnd">
              <a:solidFill>
                <a:schemeClr val="accent2"/>
              </a:solidFill>
              <a:round/>
            </a:ln>
            <a:effectLst/>
          </c:spPr>
          <c:marker>
            <c:symbol val="none"/>
          </c:marker>
          <c:cat>
            <c:multiLvlStrRef>
              <c:f>Lists!$A$54:$L$55</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2021</c:v>
                  </c:pt>
                  <c:pt idx="3">
                    <c:v>2022</c:v>
                  </c:pt>
                  <c:pt idx="7">
                    <c:v>2023</c:v>
                  </c:pt>
                  <c:pt idx="11">
                    <c:v>2024</c:v>
                  </c:pt>
                </c:lvl>
              </c:multiLvlStrCache>
            </c:multiLvlStrRef>
          </c:cat>
          <c:val>
            <c:numRef>
              <c:f>data_staging_longitudinal!$C$39:$N$39</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3-5F2D-42AD-8B74-63834C897E76}"/>
            </c:ext>
          </c:extLst>
        </c:ser>
        <c:ser>
          <c:idx val="7"/>
          <c:order val="7"/>
          <c:tx>
            <c:strRef>
              <c:f>data_staging_longitudinal!$B$40</c:f>
              <c:strCache>
                <c:ptCount val="1"/>
                <c:pt idx="0">
                  <c:v>Long run proportion (left axis)</c:v>
                </c:pt>
              </c:strCache>
            </c:strRef>
          </c:tx>
          <c:spPr>
            <a:ln w="28575" cap="rnd">
              <a:solidFill>
                <a:schemeClr val="tx1"/>
              </a:solidFill>
              <a:round/>
            </a:ln>
            <a:effectLst/>
          </c:spPr>
          <c:marker>
            <c:symbol val="none"/>
          </c:marker>
          <c:cat>
            <c:multiLvlStrRef>
              <c:f>Lists!$A$54:$L$55</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2021</c:v>
                  </c:pt>
                  <c:pt idx="3">
                    <c:v>2022</c:v>
                  </c:pt>
                  <c:pt idx="7">
                    <c:v>2023</c:v>
                  </c:pt>
                  <c:pt idx="11">
                    <c:v>2024</c:v>
                  </c:pt>
                </c:lvl>
              </c:multiLvlStrCache>
            </c:multiLvlStrRef>
          </c:cat>
          <c:val>
            <c:numRef>
              <c:f>data_staging_longitudinal!$C$40:$N$40</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4-5F2D-42AD-8B74-63834C897E76}"/>
            </c:ext>
          </c:extLst>
        </c:ser>
        <c:dLbls>
          <c:showLegendKey val="0"/>
          <c:showVal val="0"/>
          <c:showCatName val="0"/>
          <c:showSerName val="0"/>
          <c:showPercent val="0"/>
          <c:showBubbleSize val="0"/>
        </c:dLbls>
        <c:marker val="1"/>
        <c:smooth val="0"/>
        <c:axId val="1186540448"/>
        <c:axId val="1186540928"/>
      </c:lineChart>
      <c:catAx>
        <c:axId val="1186540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6540928"/>
        <c:crosses val="autoZero"/>
        <c:auto val="1"/>
        <c:lblAlgn val="ctr"/>
        <c:lblOffset val="100"/>
        <c:noMultiLvlLbl val="0"/>
      </c:catAx>
      <c:valAx>
        <c:axId val="1186540928"/>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bg1"/>
                    </a:solidFill>
                    <a:latin typeface="+mn-lt"/>
                    <a:ea typeface="+mn-ea"/>
                    <a:cs typeface="+mn-cs"/>
                  </a:defRPr>
                </a:pPr>
                <a:r>
                  <a:rPr lang="en-US" sz="1600" b="0" baseline="0">
                    <a:solidFill>
                      <a:schemeClr val="bg1"/>
                    </a:solidFill>
                  </a:rPr>
                  <a:t>Proportion (%)</a:t>
                </a:r>
              </a:p>
            </c:rich>
          </c:tx>
          <c:layout>
            <c:manualLayout>
              <c:xMode val="edge"/>
              <c:yMode val="edge"/>
              <c:x val="0.17282730573760333"/>
              <c:y val="0.22202194951909632"/>
            </c:manualLayout>
          </c:layout>
          <c:overlay val="0"/>
          <c:spPr>
            <a:solidFill>
              <a:srgbClr val="29696A"/>
            </a:solidFill>
            <a:ln>
              <a:noFill/>
            </a:ln>
            <a:effectLst/>
          </c:spPr>
          <c:txPr>
            <a:bodyPr rot="-5400000" spcFirstLastPara="1" vertOverflow="ellipsis" vert="horz" wrap="square" anchor="ctr" anchorCtr="1"/>
            <a:lstStyle/>
            <a:p>
              <a:pPr>
                <a:defRPr sz="1600" b="0" i="0" u="none" strike="noStrike" kern="1200" baseline="0">
                  <a:solidFill>
                    <a:schemeClr val="bg1"/>
                  </a:solidFill>
                  <a:latin typeface="+mn-lt"/>
                  <a:ea typeface="+mn-ea"/>
                  <a:cs typeface="+mn-cs"/>
                </a:defRPr>
              </a:pPr>
              <a:endParaRPr lang="en-US"/>
            </a:p>
          </c:txPr>
        </c:title>
        <c:numFmt formatCode="0%" sourceLinked="0"/>
        <c:majorTickMark val="out"/>
        <c:minorTickMark val="none"/>
        <c:tickLblPos val="nextTo"/>
        <c:spPr>
          <a:noFill/>
          <a:ln>
            <a:solidFill>
              <a:srgbClr val="29696A"/>
            </a:solidFill>
          </a:ln>
          <a:effectLst/>
        </c:spPr>
        <c:txPr>
          <a:bodyPr rot="-60000000" spcFirstLastPara="1" vertOverflow="ellipsis" vert="horz" wrap="square" anchor="ctr" anchorCtr="1"/>
          <a:lstStyle/>
          <a:p>
            <a:pPr>
              <a:defRPr sz="900" b="0" i="0" u="none" strike="noStrike" kern="1200" baseline="0">
                <a:solidFill>
                  <a:srgbClr val="155757"/>
                </a:solidFill>
                <a:latin typeface="+mn-lt"/>
                <a:ea typeface="+mn-ea"/>
                <a:cs typeface="+mn-cs"/>
              </a:defRPr>
            </a:pPr>
            <a:endParaRPr lang="en-US"/>
          </a:p>
        </c:txPr>
        <c:crossAx val="1186540448"/>
        <c:crosses val="autoZero"/>
        <c:crossBetween val="between"/>
      </c:valAx>
      <c:valAx>
        <c:axId val="1186539488"/>
        <c:scaling>
          <c:orientation val="minMax"/>
        </c:scaling>
        <c:delete val="0"/>
        <c:axPos val="r"/>
        <c:title>
          <c:tx>
            <c:strRef>
              <c:f>Dashboard!$C$22:$C$22</c:f>
              <c:strCache>
                <c:ptCount val="1"/>
                <c:pt idx="0">
                  <c:v>Number of people with a new diagnosis of kidney cancer</c:v>
                </c:pt>
              </c:strCache>
            </c:strRef>
          </c:tx>
          <c:layout>
            <c:manualLayout>
              <c:xMode val="edge"/>
              <c:yMode val="edge"/>
              <c:x val="0.96392645424873469"/>
              <c:y val="1.9934598564211817E-2"/>
            </c:manualLayout>
          </c:layout>
          <c:overlay val="0"/>
          <c:spPr>
            <a:solidFill>
              <a:schemeClr val="bg2"/>
            </a:solidFill>
            <a:ln>
              <a:noFill/>
            </a:ln>
            <a:effectLst/>
          </c:spPr>
          <c:txPr>
            <a:bodyPr rot="-54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title>
        <c:numFmt formatCode="General" sourceLinked="1"/>
        <c:majorTickMark val="out"/>
        <c:minorTickMark val="none"/>
        <c:tickLblPos val="nextTo"/>
        <c:spPr>
          <a:noFill/>
          <a:ln>
            <a:solidFill>
              <a:schemeClr val="bg2">
                <a:lumMod val="50000"/>
              </a:schemeClr>
            </a:solidFill>
          </a:ln>
          <a:effectLst/>
        </c:spPr>
        <c:txPr>
          <a:bodyPr rot="-60000000" spcFirstLastPara="1" vertOverflow="ellipsis" vert="horz" wrap="square" anchor="ctr" anchorCtr="1"/>
          <a:lstStyle/>
          <a:p>
            <a:pPr>
              <a:defRPr sz="900" b="0" i="0" u="none" strike="noStrike" kern="1200" baseline="0">
                <a:solidFill>
                  <a:schemeClr val="bg2">
                    <a:lumMod val="50000"/>
                  </a:schemeClr>
                </a:solidFill>
                <a:latin typeface="+mn-lt"/>
                <a:ea typeface="+mn-ea"/>
                <a:cs typeface="+mn-cs"/>
              </a:defRPr>
            </a:pPr>
            <a:endParaRPr lang="en-US"/>
          </a:p>
        </c:txPr>
        <c:crossAx val="1186537568"/>
        <c:crosses val="max"/>
        <c:crossBetween val="between"/>
      </c:valAx>
      <c:catAx>
        <c:axId val="1186537568"/>
        <c:scaling>
          <c:orientation val="minMax"/>
        </c:scaling>
        <c:delete val="1"/>
        <c:axPos val="b"/>
        <c:numFmt formatCode="General" sourceLinked="1"/>
        <c:majorTickMark val="none"/>
        <c:minorTickMark val="none"/>
        <c:tickLblPos val="nextTo"/>
        <c:crossAx val="1186539488"/>
        <c:crosses val="autoZero"/>
        <c:auto val="1"/>
        <c:lblAlgn val="ctr"/>
        <c:lblOffset val="100"/>
        <c:noMultiLvlLbl val="0"/>
      </c:catAx>
      <c:dTable>
        <c:showHorzBorder val="1"/>
        <c:showVertBorder val="1"/>
        <c:showOutline val="1"/>
        <c:showKeys val="1"/>
        <c:spPr>
          <a:noFill/>
          <a:ln w="9525" cap="flat" cmpd="sng" algn="ctr">
            <a:solidFill>
              <a:sysClr val="windowText" lastClr="000000"/>
            </a:solidFill>
            <a:round/>
          </a:ln>
          <a:effectLst/>
        </c:spPr>
        <c:txPr>
          <a:bodyPr rot="0" spcFirstLastPara="1" vertOverflow="ellipsis" vert="horz" wrap="square" anchor="ctr" anchorCtr="1"/>
          <a:lstStyle/>
          <a:p>
            <a:pPr rtl="0">
              <a:defRPr sz="1100" b="0" i="0" u="none" strike="noStrike" kern="1200" baseline="0">
                <a:solidFill>
                  <a:schemeClr val="tx1"/>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v>All NHS trusts in England</c:v>
          </c:tx>
          <c:spPr>
            <a:solidFill>
              <a:srgbClr val="29696A"/>
            </a:solidFill>
            <a:ln w="25400">
              <a:solidFill>
                <a:srgbClr val="29696A"/>
              </a:solidFill>
            </a:ln>
            <a:effectLst/>
          </c:spPr>
          <c:cat>
            <c:numRef>
              <c:f>trust_data_quality!$S$2:$S$127</c:f>
              <c:numCache>
                <c:formatCode>0.00</c:formatCode>
                <c:ptCount val="12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numCache>
            </c:numRef>
          </c:cat>
          <c:val>
            <c:numRef>
              <c:f>trust_data_quality!$R$2:$R$127</c:f>
              <c:numCache>
                <c:formatCode>0.00</c:formatCode>
                <c:ptCount val="12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numCache>
            </c:numRef>
          </c:val>
          <c:extLst>
            <c:ext xmlns:c16="http://schemas.microsoft.com/office/drawing/2014/chart" uri="{C3380CC4-5D6E-409C-BE32-E72D297353CC}">
              <c16:uniqueId val="{00000000-4A59-4B9C-B679-6F4EB6A6ED53}"/>
            </c:ext>
          </c:extLst>
        </c:ser>
        <c:dLbls>
          <c:showLegendKey val="0"/>
          <c:showVal val="0"/>
          <c:showCatName val="0"/>
          <c:showSerName val="0"/>
          <c:showPercent val="0"/>
          <c:showBubbleSize val="0"/>
        </c:dLbls>
        <c:axId val="1687825856"/>
        <c:axId val="1717320176"/>
      </c:areaChart>
      <c:scatterChart>
        <c:scatterStyle val="lineMarker"/>
        <c:varyColors val="0"/>
        <c:ser>
          <c:idx val="2"/>
          <c:order val="1"/>
          <c:tx>
            <c:strRef>
              <c:f>'Dashboard-cross section'!$D$9</c:f>
              <c:strCache>
                <c:ptCount val="1"/>
                <c:pt idx="0">
                  <c:v>Barnsley Hospital NHS Foundation Trust</c:v>
                </c:pt>
              </c:strCache>
            </c:strRef>
          </c:tx>
          <c:spPr>
            <a:ln w="28575" cap="rnd">
              <a:solidFill>
                <a:schemeClr val="accent2"/>
              </a:solidFill>
              <a:round/>
            </a:ln>
            <a:effectLst/>
          </c:spPr>
          <c:marker>
            <c:symbol val="none"/>
          </c:marker>
          <c:xVal>
            <c:numRef>
              <c:f>Links!$C$29:$C$30</c:f>
              <c:numCache>
                <c:formatCode>0</c:formatCode>
                <c:ptCount val="2"/>
                <c:pt idx="0">
                  <c:v>#N/A</c:v>
                </c:pt>
                <c:pt idx="1">
                  <c:v>#N/A</c:v>
                </c:pt>
              </c:numCache>
            </c:numRef>
          </c:xVal>
          <c:yVal>
            <c:numRef>
              <c:f>Links!$D$29:$D$30</c:f>
              <c:numCache>
                <c:formatCode>General</c:formatCode>
                <c:ptCount val="2"/>
                <c:pt idx="0" formatCode="0.00">
                  <c:v>#N/A</c:v>
                </c:pt>
                <c:pt idx="1">
                  <c:v>0</c:v>
                </c:pt>
              </c:numCache>
            </c:numRef>
          </c:yVal>
          <c:smooth val="0"/>
          <c:extLst>
            <c:ext xmlns:c16="http://schemas.microsoft.com/office/drawing/2014/chart" uri="{C3380CC4-5D6E-409C-BE32-E72D297353CC}">
              <c16:uniqueId val="{00000001-4A59-4B9C-B679-6F4EB6A6ED53}"/>
            </c:ext>
          </c:extLst>
        </c:ser>
        <c:ser>
          <c:idx val="1"/>
          <c:order val="2"/>
          <c:tx>
            <c:v>Target</c:v>
          </c:tx>
          <c:spPr>
            <a:ln w="28575" cap="rnd">
              <a:solidFill>
                <a:schemeClr val="tx1"/>
              </a:solidFill>
              <a:prstDash val="sysDash"/>
              <a:round/>
            </a:ln>
            <a:effectLst/>
          </c:spPr>
          <c:marker>
            <c:symbol val="none"/>
          </c:marker>
          <c:xVal>
            <c:numRef>
              <c:f>Links!$E$29:$E$30</c:f>
              <c:numCache>
                <c:formatCode>General</c:formatCode>
                <c:ptCount val="2"/>
                <c:pt idx="0">
                  <c:v>0</c:v>
                </c:pt>
                <c:pt idx="1">
                  <c:v>121</c:v>
                </c:pt>
              </c:numCache>
            </c:numRef>
          </c:xVal>
          <c:yVal>
            <c:numRef>
              <c:f>Links!$F$29:$F$30</c:f>
              <c:numCache>
                <c:formatCode>General</c:formatCode>
                <c:ptCount val="2"/>
                <c:pt idx="0">
                  <c:v>0.9</c:v>
                </c:pt>
                <c:pt idx="1">
                  <c:v>0.9</c:v>
                </c:pt>
              </c:numCache>
            </c:numRef>
          </c:yVal>
          <c:smooth val="0"/>
          <c:extLst>
            <c:ext xmlns:c16="http://schemas.microsoft.com/office/drawing/2014/chart" uri="{C3380CC4-5D6E-409C-BE32-E72D297353CC}">
              <c16:uniqueId val="{00000003-6FA1-4DEC-B891-E8125933D1C8}"/>
            </c:ext>
          </c:extLst>
        </c:ser>
        <c:dLbls>
          <c:showLegendKey val="0"/>
          <c:showVal val="0"/>
          <c:showCatName val="0"/>
          <c:showSerName val="0"/>
          <c:showPercent val="0"/>
          <c:showBubbleSize val="0"/>
        </c:dLbls>
        <c:axId val="1687825856"/>
        <c:axId val="1717320176"/>
      </c:scatterChart>
      <c:dateAx>
        <c:axId val="1687825856"/>
        <c:scaling>
          <c:orientation val="minMax"/>
        </c:scaling>
        <c:delete val="1"/>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GB"/>
                  <a:t>NHS trust rank order</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crossAx val="1717320176"/>
        <c:crosses val="autoZero"/>
        <c:auto val="0"/>
        <c:lblOffset val="100"/>
        <c:baseTimeUnit val="days"/>
        <c:majorUnit val="10"/>
        <c:majorTimeUnit val="days"/>
      </c:dateAx>
      <c:valAx>
        <c:axId val="1717320176"/>
        <c:scaling>
          <c:orientation val="minMax"/>
          <c:max val="1"/>
        </c:scaling>
        <c:delete val="0"/>
        <c:axPos val="l"/>
        <c:majorGridlines>
          <c:spPr>
            <a:ln w="9525" cap="flat" cmpd="sng" algn="ctr">
              <a:solidFill>
                <a:schemeClr val="tx1">
                  <a:lumMod val="15000"/>
                  <a:lumOff val="85000"/>
                </a:schemeClr>
              </a:solidFill>
              <a:round/>
            </a:ln>
            <a:effectLst/>
          </c:spPr>
        </c:majorGridlines>
        <c:title>
          <c:tx>
            <c:strRef>
              <c:f>Links!$B$22</c:f>
              <c:strCache>
                <c:ptCount val="1"/>
                <c:pt idx="0">
                  <c:v>Data completeness for Morphology (among all patients)</c:v>
                </c:pt>
              </c:strCache>
            </c:strRef>
          </c:tx>
          <c:layout>
            <c:manualLayout>
              <c:xMode val="edge"/>
              <c:yMode val="edge"/>
              <c:x val="1.6863981854147867E-2"/>
              <c:y val="0.2800166191735193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87825856"/>
        <c:crossesAt val="1"/>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fmlaLink="data_staging_longitudinal!$A$36" lockText="1"/>
</file>

<file path=xl/ctrlProps/ctrlProp2.xml><?xml version="1.0" encoding="utf-8"?>
<formControlPr xmlns="http://schemas.microsoft.com/office/spreadsheetml/2009/9/main" objectType="CheckBox" checked="Checked" fmlaLink="data_staging_longitudinal!$A$33" lockText="1"/>
</file>

<file path=xl/ctrlProps/ctrlProp3.xml><?xml version="1.0" encoding="utf-8"?>
<formControlPr xmlns="http://schemas.microsoft.com/office/spreadsheetml/2009/9/main" objectType="CheckBox" checked="Checked" fmlaLink="data_staging_longitudinal!$A$35" lockText="1"/>
</file>

<file path=xl/ctrlProps/ctrlProp4.xml><?xml version="1.0" encoding="utf-8"?>
<formControlPr xmlns="http://schemas.microsoft.com/office/spreadsheetml/2009/9/main" objectType="CheckBox" checked="Checked" fmlaLink="data_staging_longitudinal!$A$37" lockText="1"/>
</file>

<file path=xl/ctrlProps/ctrlProp5.xml><?xml version="1.0" encoding="utf-8"?>
<formControlPr xmlns="http://schemas.microsoft.com/office/spreadsheetml/2009/9/main" objectType="CheckBox" checked="Checked" fmlaLink="data_staging_longitudinal!$A$38" lockText="1"/>
</file>

<file path=xl/ctrlProps/ctrlProp6.xml><?xml version="1.0" encoding="utf-8"?>
<formControlPr xmlns="http://schemas.microsoft.com/office/spreadsheetml/2009/9/main" objectType="CheckBox" checked="Checked" fmlaLink="data_staging_longitudinal!$A$34" lockText="1"/>
</file>

<file path=xl/ctrlProps/ctrlProp7.xml><?xml version="1.0" encoding="utf-8"?>
<formControlPr xmlns="http://schemas.microsoft.com/office/spreadsheetml/2009/9/main" objectType="CheckBox" checked="Checked" fmlaLink="data_staging_longitudinal!$A$39" lockText="1"/>
</file>

<file path=xl/ctrlProps/ctrlProp8.xml><?xml version="1.0" encoding="utf-8"?>
<formControlPr xmlns="http://schemas.microsoft.com/office/spreadsheetml/2009/9/main" objectType="CheckBox" checked="Checked" fmlaLink="data_staging_longitudinal!$A$40" lockText="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natcan.org.uk/audits/kidney/"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natcan.org.uk/audits/kidney/" TargetMode="External"/><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natcan.org.uk/audits/kidney/" TargetMode="External"/><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natcan.org.uk/audits/kidney/" TargetMode="External"/><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png"/><Relationship Id="rId1" Type="http://schemas.openxmlformats.org/officeDocument/2006/relationships/chart" Target="../charts/chart1.xml"/><Relationship Id="rId5" Type="http://schemas.openxmlformats.org/officeDocument/2006/relationships/image" Target="../media/image2.png"/><Relationship Id="rId4" Type="http://schemas.openxmlformats.org/officeDocument/2006/relationships/hyperlink" Target="https://www.natcan.org.uk/audits/kidney/" TargetMode="External"/></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natcan.org.uk/audits/kidney/" TargetMode="External"/><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natcan.org.uk/audits/kidney/" TargetMode="External"/><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0</xdr:col>
      <xdr:colOff>190500</xdr:colOff>
      <xdr:row>1</xdr:row>
      <xdr:rowOff>19050</xdr:rowOff>
    </xdr:from>
    <xdr:to>
      <xdr:col>2</xdr:col>
      <xdr:colOff>26159</xdr:colOff>
      <xdr:row>6</xdr:row>
      <xdr:rowOff>15345</xdr:rowOff>
    </xdr:to>
    <xdr:pic>
      <xdr:nvPicPr>
        <xdr:cNvPr id="3" name="Picture 2">
          <a:extLst>
            <a:ext uri="{FF2B5EF4-FFF2-40B4-BE49-F238E27FC236}">
              <a16:creationId xmlns:a16="http://schemas.microsoft.com/office/drawing/2014/main" id="{AC412678-32F7-4953-A0A0-A4C3370C50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0500" y="209550"/>
          <a:ext cx="2016884" cy="948795"/>
        </a:xfrm>
        <a:prstGeom prst="rect">
          <a:avLst/>
        </a:prstGeom>
      </xdr:spPr>
    </xdr:pic>
    <xdr:clientData/>
  </xdr:twoCellAnchor>
  <xdr:twoCellAnchor>
    <xdr:from>
      <xdr:col>3</xdr:col>
      <xdr:colOff>238156</xdr:colOff>
      <xdr:row>1</xdr:row>
      <xdr:rowOff>25639</xdr:rowOff>
    </xdr:from>
    <xdr:to>
      <xdr:col>3</xdr:col>
      <xdr:colOff>3571820</xdr:colOff>
      <xdr:row>5</xdr:row>
      <xdr:rowOff>87246</xdr:rowOff>
    </xdr:to>
    <xdr:sp macro="" textlink="">
      <xdr:nvSpPr>
        <xdr:cNvPr id="6" name="TextBox 5">
          <a:hlinkClick xmlns:r="http://schemas.openxmlformats.org/officeDocument/2006/relationships" r:id="rId2"/>
          <a:extLst>
            <a:ext uri="{FF2B5EF4-FFF2-40B4-BE49-F238E27FC236}">
              <a16:creationId xmlns:a16="http://schemas.microsoft.com/office/drawing/2014/main" id="{13E53F99-7CA0-43F7-BA39-D35E2F7379C4}"/>
            </a:ext>
          </a:extLst>
        </xdr:cNvPr>
        <xdr:cNvSpPr txBox="1"/>
      </xdr:nvSpPr>
      <xdr:spPr>
        <a:xfrm>
          <a:off x="2724181" y="216139"/>
          <a:ext cx="3333664" cy="8236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rPr>
            <a:t>Contact details:</a:t>
          </a:r>
        </a:p>
        <a:p>
          <a:r>
            <a:rPr lang="en-GB" sz="1100">
              <a:solidFill>
                <a:sysClr val="windowText" lastClr="000000"/>
              </a:solidFill>
            </a:rPr>
            <a:t>Email:</a:t>
          </a:r>
          <a:r>
            <a:rPr lang="en-GB" sz="1100" baseline="0">
              <a:solidFill>
                <a:sysClr val="windowText" lastClr="000000"/>
              </a:solidFill>
            </a:rPr>
            <a:t> </a:t>
          </a:r>
          <a:r>
            <a:rPr lang="en-GB" sz="1100">
              <a:solidFill>
                <a:sysClr val="windowText" lastClr="000000"/>
              </a:solidFill>
            </a:rPr>
            <a:t>Kidneycanceraudit@rcseng.ac.uk</a:t>
          </a:r>
        </a:p>
        <a:p>
          <a:r>
            <a:rPr lang="en-GB" sz="1100">
              <a:solidFill>
                <a:sysClr val="windowText" lastClr="000000"/>
              </a:solidFill>
            </a:rPr>
            <a:t>Webpage: https://www.natcan.org.uk/audits/kidney/</a:t>
          </a:r>
        </a:p>
        <a:p>
          <a:r>
            <a:rPr lang="en-GB" sz="1100">
              <a:solidFill>
                <a:sysClr val="windowText" lastClr="000000"/>
              </a:solidFill>
            </a:rPr>
            <a:t>Twitter/X: @NKCA_NATCAN</a:t>
          </a:r>
        </a:p>
        <a:p>
          <a:endParaRPr lang="en-GB" sz="1100">
            <a:solidFill>
              <a:srgbClr val="7030A0"/>
            </a:solidFill>
          </a:endParaRPr>
        </a:p>
        <a:p>
          <a:endParaRPr lang="en-GB" sz="1100">
            <a:solidFill>
              <a:srgbClr val="7030A0"/>
            </a:solidFill>
          </a:endParaRPr>
        </a:p>
        <a:p>
          <a:endParaRPr lang="en-GB" sz="1100">
            <a:solidFill>
              <a:srgbClr val="7030A0"/>
            </a:solidFill>
          </a:endParaRPr>
        </a:p>
      </xdr:txBody>
    </xdr:sp>
    <xdr:clientData/>
  </xdr:twoCellAnchor>
  <xdr:twoCellAnchor>
    <xdr:from>
      <xdr:col>3</xdr:col>
      <xdr:colOff>3738204</xdr:colOff>
      <xdr:row>1</xdr:row>
      <xdr:rowOff>19050</xdr:rowOff>
    </xdr:from>
    <xdr:to>
      <xdr:col>6</xdr:col>
      <xdr:colOff>119142</xdr:colOff>
      <xdr:row>6</xdr:row>
      <xdr:rowOff>15345</xdr:rowOff>
    </xdr:to>
    <xdr:pic>
      <xdr:nvPicPr>
        <xdr:cNvPr id="7" name="Picture 6">
          <a:extLst>
            <a:ext uri="{FF2B5EF4-FFF2-40B4-BE49-F238E27FC236}">
              <a16:creationId xmlns:a16="http://schemas.microsoft.com/office/drawing/2014/main" id="{5CE031AF-1C34-4794-80A5-F853DC20CD0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224229" y="209550"/>
          <a:ext cx="2429313" cy="9487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266700</xdr:colOff>
      <xdr:row>0</xdr:row>
      <xdr:rowOff>142875</xdr:rowOff>
    </xdr:from>
    <xdr:to>
      <xdr:col>2</xdr:col>
      <xdr:colOff>1064384</xdr:colOff>
      <xdr:row>5</xdr:row>
      <xdr:rowOff>139170</xdr:rowOff>
    </xdr:to>
    <xdr:pic>
      <xdr:nvPicPr>
        <xdr:cNvPr id="6" name="Picture 5">
          <a:extLst>
            <a:ext uri="{FF2B5EF4-FFF2-40B4-BE49-F238E27FC236}">
              <a16:creationId xmlns:a16="http://schemas.microsoft.com/office/drawing/2014/main" id="{8C65F78C-FDDA-41F2-A884-E7324CC945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66700" y="142875"/>
          <a:ext cx="2016884" cy="948795"/>
        </a:xfrm>
        <a:prstGeom prst="rect">
          <a:avLst/>
        </a:prstGeom>
      </xdr:spPr>
    </xdr:pic>
    <xdr:clientData/>
  </xdr:twoCellAnchor>
  <xdr:twoCellAnchor>
    <xdr:from>
      <xdr:col>2</xdr:col>
      <xdr:colOff>1581181</xdr:colOff>
      <xdr:row>0</xdr:row>
      <xdr:rowOff>149464</xdr:rowOff>
    </xdr:from>
    <xdr:to>
      <xdr:col>2</xdr:col>
      <xdr:colOff>4914845</xdr:colOff>
      <xdr:row>5</xdr:row>
      <xdr:rowOff>20571</xdr:rowOff>
    </xdr:to>
    <xdr:sp macro="" textlink="">
      <xdr:nvSpPr>
        <xdr:cNvPr id="7" name="TextBox 6">
          <a:hlinkClick xmlns:r="http://schemas.openxmlformats.org/officeDocument/2006/relationships" r:id="rId2"/>
          <a:extLst>
            <a:ext uri="{FF2B5EF4-FFF2-40B4-BE49-F238E27FC236}">
              <a16:creationId xmlns:a16="http://schemas.microsoft.com/office/drawing/2014/main" id="{7B9FB0C4-79EA-4D8C-BFF5-57E00FC0710D}"/>
            </a:ext>
          </a:extLst>
        </xdr:cNvPr>
        <xdr:cNvSpPr txBox="1"/>
      </xdr:nvSpPr>
      <xdr:spPr>
        <a:xfrm>
          <a:off x="2800381" y="149464"/>
          <a:ext cx="3333664" cy="8236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rPr>
            <a:t>Contact details:</a:t>
          </a:r>
        </a:p>
        <a:p>
          <a:r>
            <a:rPr lang="en-GB" sz="1100">
              <a:solidFill>
                <a:sysClr val="windowText" lastClr="000000"/>
              </a:solidFill>
            </a:rPr>
            <a:t>Email:</a:t>
          </a:r>
          <a:r>
            <a:rPr lang="en-GB" sz="1100" baseline="0">
              <a:solidFill>
                <a:sysClr val="windowText" lastClr="000000"/>
              </a:solidFill>
            </a:rPr>
            <a:t> </a:t>
          </a:r>
          <a:r>
            <a:rPr lang="en-GB" sz="1100">
              <a:solidFill>
                <a:sysClr val="windowText" lastClr="000000"/>
              </a:solidFill>
            </a:rPr>
            <a:t>Kidneycanceraudit@rcseng.ac.uk</a:t>
          </a:r>
        </a:p>
        <a:p>
          <a:r>
            <a:rPr lang="en-GB" sz="1100">
              <a:solidFill>
                <a:sysClr val="windowText" lastClr="000000"/>
              </a:solidFill>
            </a:rPr>
            <a:t>Webpage: https://www.natcan.org.uk/audits/kidney/</a:t>
          </a:r>
        </a:p>
        <a:p>
          <a:r>
            <a:rPr lang="en-GB" sz="1100">
              <a:solidFill>
                <a:sysClr val="windowText" lastClr="000000"/>
              </a:solidFill>
            </a:rPr>
            <a:t>Twitter/X: @NKCA_NATCAN</a:t>
          </a:r>
        </a:p>
        <a:p>
          <a:endParaRPr lang="en-GB" sz="1100">
            <a:solidFill>
              <a:srgbClr val="7030A0"/>
            </a:solidFill>
          </a:endParaRPr>
        </a:p>
        <a:p>
          <a:endParaRPr lang="en-GB" sz="1100">
            <a:solidFill>
              <a:srgbClr val="7030A0"/>
            </a:solidFill>
          </a:endParaRPr>
        </a:p>
        <a:p>
          <a:endParaRPr lang="en-GB" sz="1100">
            <a:solidFill>
              <a:srgbClr val="7030A0"/>
            </a:solidFill>
          </a:endParaRPr>
        </a:p>
      </xdr:txBody>
    </xdr:sp>
    <xdr:clientData/>
  </xdr:twoCellAnchor>
  <xdr:twoCellAnchor>
    <xdr:from>
      <xdr:col>2</xdr:col>
      <xdr:colOff>5081229</xdr:colOff>
      <xdr:row>0</xdr:row>
      <xdr:rowOff>142875</xdr:rowOff>
    </xdr:from>
    <xdr:to>
      <xdr:col>3</xdr:col>
      <xdr:colOff>252492</xdr:colOff>
      <xdr:row>5</xdr:row>
      <xdr:rowOff>139170</xdr:rowOff>
    </xdr:to>
    <xdr:pic>
      <xdr:nvPicPr>
        <xdr:cNvPr id="8" name="Picture 7">
          <a:extLst>
            <a:ext uri="{FF2B5EF4-FFF2-40B4-BE49-F238E27FC236}">
              <a16:creationId xmlns:a16="http://schemas.microsoft.com/office/drawing/2014/main" id="{F353F8EA-7823-4E67-B2A3-42DE8F6D72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300429" y="142875"/>
          <a:ext cx="2429313" cy="9487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266700</xdr:colOff>
      <xdr:row>1</xdr:row>
      <xdr:rowOff>38100</xdr:rowOff>
    </xdr:from>
    <xdr:to>
      <xdr:col>2</xdr:col>
      <xdr:colOff>1064384</xdr:colOff>
      <xdr:row>6</xdr:row>
      <xdr:rowOff>34395</xdr:rowOff>
    </xdr:to>
    <xdr:pic>
      <xdr:nvPicPr>
        <xdr:cNvPr id="6" name="Picture 5">
          <a:extLst>
            <a:ext uri="{FF2B5EF4-FFF2-40B4-BE49-F238E27FC236}">
              <a16:creationId xmlns:a16="http://schemas.microsoft.com/office/drawing/2014/main" id="{05900C41-0ED5-49E8-B0AE-529C7B4769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66700" y="228600"/>
          <a:ext cx="2016884" cy="948795"/>
        </a:xfrm>
        <a:prstGeom prst="rect">
          <a:avLst/>
        </a:prstGeom>
      </xdr:spPr>
    </xdr:pic>
    <xdr:clientData/>
  </xdr:twoCellAnchor>
  <xdr:twoCellAnchor>
    <xdr:from>
      <xdr:col>2</xdr:col>
      <xdr:colOff>1581181</xdr:colOff>
      <xdr:row>1</xdr:row>
      <xdr:rowOff>44689</xdr:rowOff>
    </xdr:from>
    <xdr:to>
      <xdr:col>2</xdr:col>
      <xdr:colOff>4914845</xdr:colOff>
      <xdr:row>5</xdr:row>
      <xdr:rowOff>106296</xdr:rowOff>
    </xdr:to>
    <xdr:sp macro="" textlink="">
      <xdr:nvSpPr>
        <xdr:cNvPr id="7" name="TextBox 6">
          <a:hlinkClick xmlns:r="http://schemas.openxmlformats.org/officeDocument/2006/relationships" r:id="rId2"/>
          <a:extLst>
            <a:ext uri="{FF2B5EF4-FFF2-40B4-BE49-F238E27FC236}">
              <a16:creationId xmlns:a16="http://schemas.microsoft.com/office/drawing/2014/main" id="{8B363B3D-3B77-404F-AF45-DA9AC72E771B}"/>
            </a:ext>
          </a:extLst>
        </xdr:cNvPr>
        <xdr:cNvSpPr txBox="1"/>
      </xdr:nvSpPr>
      <xdr:spPr>
        <a:xfrm>
          <a:off x="2800381" y="235189"/>
          <a:ext cx="3333664" cy="8236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rPr>
            <a:t>Contact details:</a:t>
          </a:r>
        </a:p>
        <a:p>
          <a:r>
            <a:rPr lang="en-GB" sz="1100">
              <a:solidFill>
                <a:sysClr val="windowText" lastClr="000000"/>
              </a:solidFill>
            </a:rPr>
            <a:t>Email:</a:t>
          </a:r>
          <a:r>
            <a:rPr lang="en-GB" sz="1100" baseline="0">
              <a:solidFill>
                <a:sysClr val="windowText" lastClr="000000"/>
              </a:solidFill>
            </a:rPr>
            <a:t> </a:t>
          </a:r>
          <a:r>
            <a:rPr lang="en-GB" sz="1100">
              <a:solidFill>
                <a:sysClr val="windowText" lastClr="000000"/>
              </a:solidFill>
            </a:rPr>
            <a:t>Kidneycanceraudit@rcseng.ac.uk</a:t>
          </a:r>
        </a:p>
        <a:p>
          <a:r>
            <a:rPr lang="en-GB" sz="1100">
              <a:solidFill>
                <a:sysClr val="windowText" lastClr="000000"/>
              </a:solidFill>
            </a:rPr>
            <a:t>Webpage: https://www.natcan.org.uk/audits/kidney/</a:t>
          </a:r>
        </a:p>
        <a:p>
          <a:r>
            <a:rPr lang="en-GB" sz="1100">
              <a:solidFill>
                <a:sysClr val="windowText" lastClr="000000"/>
              </a:solidFill>
            </a:rPr>
            <a:t>Twitter/X: @NKCA_NATCAN</a:t>
          </a:r>
        </a:p>
        <a:p>
          <a:endParaRPr lang="en-GB" sz="1100">
            <a:solidFill>
              <a:srgbClr val="7030A0"/>
            </a:solidFill>
          </a:endParaRPr>
        </a:p>
        <a:p>
          <a:endParaRPr lang="en-GB" sz="1100">
            <a:solidFill>
              <a:srgbClr val="7030A0"/>
            </a:solidFill>
          </a:endParaRPr>
        </a:p>
        <a:p>
          <a:endParaRPr lang="en-GB" sz="1100">
            <a:solidFill>
              <a:srgbClr val="7030A0"/>
            </a:solidFill>
          </a:endParaRPr>
        </a:p>
      </xdr:txBody>
    </xdr:sp>
    <xdr:clientData/>
  </xdr:twoCellAnchor>
  <xdr:twoCellAnchor>
    <xdr:from>
      <xdr:col>2</xdr:col>
      <xdr:colOff>5081229</xdr:colOff>
      <xdr:row>1</xdr:row>
      <xdr:rowOff>38100</xdr:rowOff>
    </xdr:from>
    <xdr:to>
      <xdr:col>3</xdr:col>
      <xdr:colOff>252492</xdr:colOff>
      <xdr:row>6</xdr:row>
      <xdr:rowOff>34395</xdr:rowOff>
    </xdr:to>
    <xdr:pic>
      <xdr:nvPicPr>
        <xdr:cNvPr id="8" name="Picture 7">
          <a:extLst>
            <a:ext uri="{FF2B5EF4-FFF2-40B4-BE49-F238E27FC236}">
              <a16:creationId xmlns:a16="http://schemas.microsoft.com/office/drawing/2014/main" id="{73EEFBBB-7297-4D6A-8971-9B6528FCE54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300429" y="228600"/>
          <a:ext cx="2429313" cy="9487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25175</xdr:colOff>
      <xdr:row>1</xdr:row>
      <xdr:rowOff>0</xdr:rowOff>
    </xdr:from>
    <xdr:to>
      <xdr:col>4</xdr:col>
      <xdr:colOff>57005</xdr:colOff>
      <xdr:row>5</xdr:row>
      <xdr:rowOff>177800</xdr:rowOff>
    </xdr:to>
    <xdr:grpSp>
      <xdr:nvGrpSpPr>
        <xdr:cNvPr id="2" name="Group 1">
          <a:extLst>
            <a:ext uri="{FF2B5EF4-FFF2-40B4-BE49-F238E27FC236}">
              <a16:creationId xmlns:a16="http://schemas.microsoft.com/office/drawing/2014/main" id="{17EC0B82-6E02-4546-9BD7-9037D7E47A53}"/>
            </a:ext>
          </a:extLst>
        </xdr:cNvPr>
        <xdr:cNvGrpSpPr/>
      </xdr:nvGrpSpPr>
      <xdr:grpSpPr>
        <a:xfrm>
          <a:off x="630965" y="180975"/>
          <a:ext cx="8726250" cy="897890"/>
          <a:chOff x="632828" y="190500"/>
          <a:chExt cx="8851980" cy="914400"/>
        </a:xfrm>
      </xdr:grpSpPr>
      <xdr:pic>
        <xdr:nvPicPr>
          <xdr:cNvPr id="3" name="Picture 2">
            <a:extLst>
              <a:ext uri="{FF2B5EF4-FFF2-40B4-BE49-F238E27FC236}">
                <a16:creationId xmlns:a16="http://schemas.microsoft.com/office/drawing/2014/main" id="{B91CB294-8615-91CC-9759-2F8F7267BA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32828" y="190500"/>
            <a:ext cx="2109574" cy="914400"/>
          </a:xfrm>
          <a:prstGeom prst="rect">
            <a:avLst/>
          </a:prstGeom>
        </xdr:spPr>
      </xdr:pic>
      <xdr:sp macro="" textlink="">
        <xdr:nvSpPr>
          <xdr:cNvPr id="4" name="TextBox 3">
            <a:hlinkClick xmlns:r="http://schemas.openxmlformats.org/officeDocument/2006/relationships" r:id="rId2"/>
            <a:extLst>
              <a:ext uri="{FF2B5EF4-FFF2-40B4-BE49-F238E27FC236}">
                <a16:creationId xmlns:a16="http://schemas.microsoft.com/office/drawing/2014/main" id="{BE0F5DC4-9041-B293-FF50-855C9673085D}"/>
              </a:ext>
            </a:extLst>
          </xdr:cNvPr>
          <xdr:cNvSpPr txBox="1"/>
        </xdr:nvSpPr>
        <xdr:spPr>
          <a:xfrm>
            <a:off x="3282949" y="196850"/>
            <a:ext cx="3447352" cy="793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rPr>
              <a:t>Contact details:</a:t>
            </a:r>
          </a:p>
          <a:p>
            <a:r>
              <a:rPr lang="en-GB" sz="1100">
                <a:solidFill>
                  <a:sysClr val="windowText" lastClr="000000"/>
                </a:solidFill>
              </a:rPr>
              <a:t>Email:</a:t>
            </a:r>
            <a:r>
              <a:rPr lang="en-GB" sz="1100" baseline="0">
                <a:solidFill>
                  <a:sysClr val="windowText" lastClr="000000"/>
                </a:solidFill>
              </a:rPr>
              <a:t> </a:t>
            </a:r>
            <a:r>
              <a:rPr lang="en-GB" sz="1100">
                <a:solidFill>
                  <a:sysClr val="windowText" lastClr="000000"/>
                </a:solidFill>
              </a:rPr>
              <a:t>Kidneycanceraudit@rcseng.ac.uk</a:t>
            </a:r>
          </a:p>
          <a:p>
            <a:r>
              <a:rPr lang="en-GB" sz="1100">
                <a:solidFill>
                  <a:sysClr val="windowText" lastClr="000000"/>
                </a:solidFill>
              </a:rPr>
              <a:t>Webpage: https://www.natcan.org.uk/audits/kidney/</a:t>
            </a:r>
          </a:p>
          <a:p>
            <a:r>
              <a:rPr lang="en-GB" sz="1100">
                <a:solidFill>
                  <a:sysClr val="windowText" lastClr="000000"/>
                </a:solidFill>
              </a:rPr>
              <a:t>Twitter/X: @NKCA_NATCAN</a:t>
            </a:r>
          </a:p>
          <a:p>
            <a:endParaRPr lang="en-GB" sz="1100">
              <a:solidFill>
                <a:srgbClr val="7030A0"/>
              </a:solidFill>
            </a:endParaRPr>
          </a:p>
          <a:p>
            <a:endParaRPr lang="en-GB" sz="1100">
              <a:solidFill>
                <a:srgbClr val="7030A0"/>
              </a:solidFill>
            </a:endParaRPr>
          </a:p>
          <a:p>
            <a:endParaRPr lang="en-GB" sz="1100">
              <a:solidFill>
                <a:srgbClr val="7030A0"/>
              </a:solidFill>
            </a:endParaRPr>
          </a:p>
        </xdr:txBody>
      </xdr:sp>
      <xdr:pic>
        <xdr:nvPicPr>
          <xdr:cNvPr id="5" name="Picture 4">
            <a:extLst>
              <a:ext uri="{FF2B5EF4-FFF2-40B4-BE49-F238E27FC236}">
                <a16:creationId xmlns:a16="http://schemas.microsoft.com/office/drawing/2014/main" id="{47805FD1-F518-61AA-9F64-14A7F9ED865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43851" y="190500"/>
            <a:ext cx="2540957" cy="914400"/>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182708</xdr:colOff>
      <xdr:row>5</xdr:row>
      <xdr:rowOff>85720</xdr:rowOff>
    </xdr:from>
    <xdr:to>
      <xdr:col>10</xdr:col>
      <xdr:colOff>1551232</xdr:colOff>
      <xdr:row>41</xdr:row>
      <xdr:rowOff>21166</xdr:rowOff>
    </xdr:to>
    <xdr:grpSp>
      <xdr:nvGrpSpPr>
        <xdr:cNvPr id="4" name="Group 3">
          <a:extLst>
            <a:ext uri="{FF2B5EF4-FFF2-40B4-BE49-F238E27FC236}">
              <a16:creationId xmlns:a16="http://schemas.microsoft.com/office/drawing/2014/main" id="{00000000-0008-0000-0400-000004000000}"/>
            </a:ext>
          </a:extLst>
        </xdr:cNvPr>
        <xdr:cNvGrpSpPr/>
      </xdr:nvGrpSpPr>
      <xdr:grpSpPr>
        <a:xfrm>
          <a:off x="8924753" y="1011550"/>
          <a:ext cx="8140799" cy="5530431"/>
          <a:chOff x="8228443" y="567265"/>
          <a:chExt cx="10144231" cy="8112502"/>
        </a:xfrm>
      </xdr:grpSpPr>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8265590" y="567265"/>
          <a:ext cx="10107084" cy="8112502"/>
        </xdr:xfrm>
        <a:graphic>
          <a:graphicData uri="http://schemas.openxmlformats.org/drawingml/2006/chart">
            <c:chart xmlns:c="http://schemas.openxmlformats.org/drawingml/2006/chart" xmlns:r="http://schemas.openxmlformats.org/officeDocument/2006/relationships" r:id="rId1"/>
          </a:graphicData>
        </a:graphic>
      </xdr:graphicFrame>
      <mc:AlternateContent xmlns:mc="http://schemas.openxmlformats.org/markup-compatibility/2006">
        <mc:Choice xmlns:a14="http://schemas.microsoft.com/office/drawing/2010/main" Requires="a14">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0400-0000054C0000}"/>
                  </a:ext>
                </a:extLst>
              </xdr:cNvPr>
              <xdr:cNvSpPr/>
            </xdr:nvSpPr>
            <xdr:spPr bwMode="auto">
              <a:xfrm>
                <a:off x="8228443" y="6794965"/>
                <a:ext cx="304801" cy="2190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19469" name="Check Box 13" hidden="1">
                <a:extLst>
                  <a:ext uri="{63B3BB69-23CF-44E3-9099-C40C66FF867C}">
                    <a14:compatExt spid="_x0000_s19469"/>
                  </a:ext>
                  <a:ext uri="{FF2B5EF4-FFF2-40B4-BE49-F238E27FC236}">
                    <a16:creationId xmlns:a16="http://schemas.microsoft.com/office/drawing/2014/main" id="{00000000-0008-0000-0400-00000D4C0000}"/>
                  </a:ext>
                </a:extLst>
              </xdr:cNvPr>
              <xdr:cNvSpPr/>
            </xdr:nvSpPr>
            <xdr:spPr bwMode="auto">
              <a:xfrm>
                <a:off x="8230390" y="6186888"/>
                <a:ext cx="304801" cy="2190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19490" name="Check Box 34" hidden="1">
                <a:extLst>
                  <a:ext uri="{63B3BB69-23CF-44E3-9099-C40C66FF867C}">
                    <a14:compatExt spid="_x0000_s19490"/>
                  </a:ext>
                  <a:ext uri="{FF2B5EF4-FFF2-40B4-BE49-F238E27FC236}">
                    <a16:creationId xmlns:a16="http://schemas.microsoft.com/office/drawing/2014/main" id="{00000000-0008-0000-0400-0000224C0000}"/>
                  </a:ext>
                </a:extLst>
              </xdr:cNvPr>
              <xdr:cNvSpPr/>
            </xdr:nvSpPr>
            <xdr:spPr bwMode="auto">
              <a:xfrm>
                <a:off x="8234850" y="7098034"/>
                <a:ext cx="304801" cy="2190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mc:AlternateContent xmlns:mc="http://schemas.openxmlformats.org/markup-compatibility/2006">
    <mc:Choice xmlns:a14="http://schemas.microsoft.com/office/drawing/2010/main" Requires="a14">
      <xdr:twoCellAnchor editAs="oneCell">
        <xdr:from>
          <xdr:col>4</xdr:col>
          <xdr:colOff>182880</xdr:colOff>
          <xdr:row>36</xdr:row>
          <xdr:rowOff>106680</xdr:rowOff>
        </xdr:from>
        <xdr:to>
          <xdr:col>4</xdr:col>
          <xdr:colOff>419100</xdr:colOff>
          <xdr:row>38</xdr:row>
          <xdr:rowOff>45720</xdr:rowOff>
        </xdr:to>
        <xdr:sp macro="" textlink="">
          <xdr:nvSpPr>
            <xdr:cNvPr id="19491" name="Check Box 35" hidden="1">
              <a:extLst>
                <a:ext uri="{63B3BB69-23CF-44E3-9099-C40C66FF867C}">
                  <a14:compatExt spid="_x0000_s19491"/>
                </a:ext>
                <a:ext uri="{FF2B5EF4-FFF2-40B4-BE49-F238E27FC236}">
                  <a16:creationId xmlns:a16="http://schemas.microsoft.com/office/drawing/2014/main" id="{00000000-0008-0000-0400-00002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38</xdr:row>
          <xdr:rowOff>83820</xdr:rowOff>
        </xdr:from>
        <xdr:to>
          <xdr:col>4</xdr:col>
          <xdr:colOff>502920</xdr:colOff>
          <xdr:row>39</xdr:row>
          <xdr:rowOff>114300</xdr:rowOff>
        </xdr:to>
        <xdr:sp macro="" textlink="">
          <xdr:nvSpPr>
            <xdr:cNvPr id="19492" name="Check Box 36" hidden="1">
              <a:extLst>
                <a:ext uri="{63B3BB69-23CF-44E3-9099-C40C66FF867C}">
                  <a14:compatExt spid="_x0000_s19492"/>
                </a:ext>
                <a:ext uri="{FF2B5EF4-FFF2-40B4-BE49-F238E27FC236}">
                  <a16:creationId xmlns:a16="http://schemas.microsoft.com/office/drawing/2014/main" id="{00000000-0008-0000-0400-00002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32</xdr:row>
          <xdr:rowOff>30480</xdr:rowOff>
        </xdr:from>
        <xdr:to>
          <xdr:col>5</xdr:col>
          <xdr:colOff>0</xdr:colOff>
          <xdr:row>33</xdr:row>
          <xdr:rowOff>76200</xdr:rowOff>
        </xdr:to>
        <xdr:sp macro="" textlink="">
          <xdr:nvSpPr>
            <xdr:cNvPr id="19493" name="Check Box 37" hidden="1">
              <a:extLst>
                <a:ext uri="{63B3BB69-23CF-44E3-9099-C40C66FF867C}">
                  <a14:compatExt spid="_x0000_s19493"/>
                </a:ext>
                <a:ext uri="{FF2B5EF4-FFF2-40B4-BE49-F238E27FC236}">
                  <a16:creationId xmlns:a16="http://schemas.microsoft.com/office/drawing/2014/main" id="{00000000-0008-0000-0400-00002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175260</xdr:colOff>
          <xdr:row>39</xdr:row>
          <xdr:rowOff>106680</xdr:rowOff>
        </xdr:from>
        <xdr:to>
          <xdr:col>4</xdr:col>
          <xdr:colOff>495300</xdr:colOff>
          <xdr:row>40</xdr:row>
          <xdr:rowOff>45720</xdr:rowOff>
        </xdr:to>
        <xdr:sp macro="" textlink="">
          <xdr:nvSpPr>
            <xdr:cNvPr id="19494" name="Check Box 38" hidden="1">
              <a:extLst>
                <a:ext uri="{63B3BB69-23CF-44E3-9099-C40C66FF867C}">
                  <a14:compatExt spid="_x0000_s19494"/>
                </a:ext>
                <a:ext uri="{FF2B5EF4-FFF2-40B4-BE49-F238E27FC236}">
                  <a16:creationId xmlns:a16="http://schemas.microsoft.com/office/drawing/2014/main" id="{00000000-0008-0000-0400-00002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160020</xdr:colOff>
          <xdr:row>40</xdr:row>
          <xdr:rowOff>45720</xdr:rowOff>
        </xdr:from>
        <xdr:to>
          <xdr:col>4</xdr:col>
          <xdr:colOff>487680</xdr:colOff>
          <xdr:row>40</xdr:row>
          <xdr:rowOff>266700</xdr:rowOff>
        </xdr:to>
        <xdr:sp macro="" textlink="">
          <xdr:nvSpPr>
            <xdr:cNvPr id="19495" name="Check Box 39" hidden="1">
              <a:extLst>
                <a:ext uri="{63B3BB69-23CF-44E3-9099-C40C66FF867C}">
                  <a14:compatExt spid="_x0000_s19495"/>
                </a:ext>
                <a:ext uri="{FF2B5EF4-FFF2-40B4-BE49-F238E27FC236}">
                  <a16:creationId xmlns:a16="http://schemas.microsoft.com/office/drawing/2014/main" id="{00000000-0008-0000-0400-00002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105833</xdr:colOff>
      <xdr:row>43</xdr:row>
      <xdr:rowOff>2</xdr:rowOff>
    </xdr:from>
    <xdr:ext cx="137584" cy="169335"/>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2"/>
        <a:srcRect l="14495" t="12823" r="22695" b="18792"/>
        <a:stretch/>
      </xdr:blipFill>
      <xdr:spPr>
        <a:xfrm>
          <a:off x="9006416" y="6688669"/>
          <a:ext cx="137584" cy="169335"/>
        </a:xfrm>
        <a:prstGeom prst="rect">
          <a:avLst/>
        </a:prstGeom>
      </xdr:spPr>
    </xdr:pic>
    <xdr:clientData/>
  </xdr:oneCellAnchor>
  <xdr:twoCellAnchor>
    <xdr:from>
      <xdr:col>0</xdr:col>
      <xdr:colOff>142875</xdr:colOff>
      <xdr:row>0</xdr:row>
      <xdr:rowOff>152400</xdr:rowOff>
    </xdr:from>
    <xdr:to>
      <xdr:col>2</xdr:col>
      <xdr:colOff>1616834</xdr:colOff>
      <xdr:row>5</xdr:row>
      <xdr:rowOff>139170</xdr:rowOff>
    </xdr:to>
    <xdr:pic>
      <xdr:nvPicPr>
        <xdr:cNvPr id="3" name="Picture 2">
          <a:extLst>
            <a:ext uri="{FF2B5EF4-FFF2-40B4-BE49-F238E27FC236}">
              <a16:creationId xmlns:a16="http://schemas.microsoft.com/office/drawing/2014/main" id="{4F4D35DA-F80E-451C-B8DA-AD947B3EBF0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42875" y="152400"/>
          <a:ext cx="2016884" cy="948795"/>
        </a:xfrm>
        <a:prstGeom prst="rect">
          <a:avLst/>
        </a:prstGeom>
      </xdr:spPr>
    </xdr:pic>
    <xdr:clientData/>
  </xdr:twoCellAnchor>
  <xdr:twoCellAnchor>
    <xdr:from>
      <xdr:col>2</xdr:col>
      <xdr:colOff>2133631</xdr:colOff>
      <xdr:row>0</xdr:row>
      <xdr:rowOff>158989</xdr:rowOff>
    </xdr:from>
    <xdr:to>
      <xdr:col>2</xdr:col>
      <xdr:colOff>5467295</xdr:colOff>
      <xdr:row>5</xdr:row>
      <xdr:rowOff>20571</xdr:rowOff>
    </xdr:to>
    <xdr:sp macro="" textlink="">
      <xdr:nvSpPr>
        <xdr:cNvPr id="6" name="TextBox 5">
          <a:hlinkClick xmlns:r="http://schemas.openxmlformats.org/officeDocument/2006/relationships" r:id="rId4"/>
          <a:extLst>
            <a:ext uri="{FF2B5EF4-FFF2-40B4-BE49-F238E27FC236}">
              <a16:creationId xmlns:a16="http://schemas.microsoft.com/office/drawing/2014/main" id="{A0214F9D-8B19-4C6F-8FA4-45B9557D3765}"/>
            </a:ext>
          </a:extLst>
        </xdr:cNvPr>
        <xdr:cNvSpPr txBox="1"/>
      </xdr:nvSpPr>
      <xdr:spPr>
        <a:xfrm>
          <a:off x="2676556" y="158989"/>
          <a:ext cx="3333664" cy="8236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rPr>
            <a:t>Contact details:</a:t>
          </a:r>
        </a:p>
        <a:p>
          <a:r>
            <a:rPr lang="en-GB" sz="1100">
              <a:solidFill>
                <a:sysClr val="windowText" lastClr="000000"/>
              </a:solidFill>
            </a:rPr>
            <a:t>Email:</a:t>
          </a:r>
          <a:r>
            <a:rPr lang="en-GB" sz="1100" baseline="0">
              <a:solidFill>
                <a:sysClr val="windowText" lastClr="000000"/>
              </a:solidFill>
            </a:rPr>
            <a:t> </a:t>
          </a:r>
          <a:r>
            <a:rPr lang="en-GB" sz="1100">
              <a:solidFill>
                <a:sysClr val="windowText" lastClr="000000"/>
              </a:solidFill>
            </a:rPr>
            <a:t>Kidneycanceraudit@rcseng.ac.uk</a:t>
          </a:r>
        </a:p>
        <a:p>
          <a:r>
            <a:rPr lang="en-GB" sz="1100">
              <a:solidFill>
                <a:sysClr val="windowText" lastClr="000000"/>
              </a:solidFill>
            </a:rPr>
            <a:t>Webpage: https://www.natcan.org.uk/audits/kidney/</a:t>
          </a:r>
        </a:p>
        <a:p>
          <a:r>
            <a:rPr lang="en-GB" sz="1100">
              <a:solidFill>
                <a:sysClr val="windowText" lastClr="000000"/>
              </a:solidFill>
            </a:rPr>
            <a:t>Twitter/X: @NKCA_NATCAN</a:t>
          </a:r>
        </a:p>
        <a:p>
          <a:endParaRPr lang="en-GB" sz="1100">
            <a:solidFill>
              <a:srgbClr val="7030A0"/>
            </a:solidFill>
          </a:endParaRPr>
        </a:p>
        <a:p>
          <a:endParaRPr lang="en-GB" sz="1100">
            <a:solidFill>
              <a:srgbClr val="7030A0"/>
            </a:solidFill>
          </a:endParaRPr>
        </a:p>
        <a:p>
          <a:endParaRPr lang="en-GB" sz="1100">
            <a:solidFill>
              <a:srgbClr val="7030A0"/>
            </a:solidFill>
          </a:endParaRPr>
        </a:p>
      </xdr:txBody>
    </xdr:sp>
    <xdr:clientData/>
  </xdr:twoCellAnchor>
  <xdr:twoCellAnchor>
    <xdr:from>
      <xdr:col>2</xdr:col>
      <xdr:colOff>5633679</xdr:colOff>
      <xdr:row>0</xdr:row>
      <xdr:rowOff>152400</xdr:rowOff>
    </xdr:from>
    <xdr:to>
      <xdr:col>4</xdr:col>
      <xdr:colOff>109617</xdr:colOff>
      <xdr:row>5</xdr:row>
      <xdr:rowOff>139170</xdr:rowOff>
    </xdr:to>
    <xdr:pic>
      <xdr:nvPicPr>
        <xdr:cNvPr id="8" name="Picture 7">
          <a:extLst>
            <a:ext uri="{FF2B5EF4-FFF2-40B4-BE49-F238E27FC236}">
              <a16:creationId xmlns:a16="http://schemas.microsoft.com/office/drawing/2014/main" id="{AD593058-CC36-4AE5-ADC7-003E866EB32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176604" y="152400"/>
          <a:ext cx="2429313" cy="94879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495300</xdr:colOff>
      <xdr:row>1</xdr:row>
      <xdr:rowOff>0</xdr:rowOff>
    </xdr:from>
    <xdr:to>
      <xdr:col>1</xdr:col>
      <xdr:colOff>1902584</xdr:colOff>
      <xdr:row>5</xdr:row>
      <xdr:rowOff>186795</xdr:rowOff>
    </xdr:to>
    <xdr:pic>
      <xdr:nvPicPr>
        <xdr:cNvPr id="2" name="Picture 1">
          <a:extLst>
            <a:ext uri="{FF2B5EF4-FFF2-40B4-BE49-F238E27FC236}">
              <a16:creationId xmlns:a16="http://schemas.microsoft.com/office/drawing/2014/main" id="{740E7916-BC06-4695-83EE-0C5B52D13D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95300" y="190500"/>
          <a:ext cx="2016884" cy="948795"/>
        </a:xfrm>
        <a:prstGeom prst="rect">
          <a:avLst/>
        </a:prstGeom>
      </xdr:spPr>
    </xdr:pic>
    <xdr:clientData/>
  </xdr:twoCellAnchor>
  <xdr:twoCellAnchor>
    <xdr:from>
      <xdr:col>1</xdr:col>
      <xdr:colOff>2419381</xdr:colOff>
      <xdr:row>1</xdr:row>
      <xdr:rowOff>6589</xdr:rowOff>
    </xdr:from>
    <xdr:to>
      <xdr:col>4</xdr:col>
      <xdr:colOff>495245</xdr:colOff>
      <xdr:row>5</xdr:row>
      <xdr:rowOff>68196</xdr:rowOff>
    </xdr:to>
    <xdr:sp macro="" textlink="">
      <xdr:nvSpPr>
        <xdr:cNvPr id="3" name="TextBox 2">
          <a:hlinkClick xmlns:r="http://schemas.openxmlformats.org/officeDocument/2006/relationships" r:id="rId2"/>
          <a:extLst>
            <a:ext uri="{FF2B5EF4-FFF2-40B4-BE49-F238E27FC236}">
              <a16:creationId xmlns:a16="http://schemas.microsoft.com/office/drawing/2014/main" id="{5093A074-51A6-435F-9552-D7547F043B50}"/>
            </a:ext>
          </a:extLst>
        </xdr:cNvPr>
        <xdr:cNvSpPr txBox="1"/>
      </xdr:nvSpPr>
      <xdr:spPr>
        <a:xfrm>
          <a:off x="3028981" y="197089"/>
          <a:ext cx="3333664" cy="8236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rPr>
            <a:t>Contact details:</a:t>
          </a:r>
        </a:p>
        <a:p>
          <a:r>
            <a:rPr lang="en-GB" sz="1100">
              <a:solidFill>
                <a:sysClr val="windowText" lastClr="000000"/>
              </a:solidFill>
            </a:rPr>
            <a:t>Email:</a:t>
          </a:r>
          <a:r>
            <a:rPr lang="en-GB" sz="1100" baseline="0">
              <a:solidFill>
                <a:sysClr val="windowText" lastClr="000000"/>
              </a:solidFill>
            </a:rPr>
            <a:t> </a:t>
          </a:r>
          <a:r>
            <a:rPr lang="en-GB" sz="1100">
              <a:solidFill>
                <a:sysClr val="windowText" lastClr="000000"/>
              </a:solidFill>
            </a:rPr>
            <a:t>Kidneycanceraudit@rcseng.ac.uk</a:t>
          </a:r>
        </a:p>
        <a:p>
          <a:r>
            <a:rPr lang="en-GB" sz="1100">
              <a:solidFill>
                <a:sysClr val="windowText" lastClr="000000"/>
              </a:solidFill>
            </a:rPr>
            <a:t>Webpage: https://www.natcan.org.uk/audits/kidney/</a:t>
          </a:r>
        </a:p>
        <a:p>
          <a:r>
            <a:rPr lang="en-GB" sz="1100">
              <a:solidFill>
                <a:sysClr val="windowText" lastClr="000000"/>
              </a:solidFill>
            </a:rPr>
            <a:t>Twitter/X: @NKCA_NATCAN</a:t>
          </a:r>
        </a:p>
        <a:p>
          <a:endParaRPr lang="en-GB" sz="1100">
            <a:solidFill>
              <a:srgbClr val="7030A0"/>
            </a:solidFill>
          </a:endParaRPr>
        </a:p>
        <a:p>
          <a:endParaRPr lang="en-GB" sz="1100">
            <a:solidFill>
              <a:srgbClr val="7030A0"/>
            </a:solidFill>
          </a:endParaRPr>
        </a:p>
        <a:p>
          <a:endParaRPr lang="en-GB" sz="1100">
            <a:solidFill>
              <a:srgbClr val="7030A0"/>
            </a:solidFill>
          </a:endParaRPr>
        </a:p>
      </xdr:txBody>
    </xdr:sp>
    <xdr:clientData/>
  </xdr:twoCellAnchor>
  <xdr:twoCellAnchor>
    <xdr:from>
      <xdr:col>4</xdr:col>
      <xdr:colOff>661628</xdr:colOff>
      <xdr:row>1</xdr:row>
      <xdr:rowOff>0</xdr:rowOff>
    </xdr:from>
    <xdr:to>
      <xdr:col>6</xdr:col>
      <xdr:colOff>1076325</xdr:colOff>
      <xdr:row>5</xdr:row>
      <xdr:rowOff>186795</xdr:rowOff>
    </xdr:to>
    <xdr:pic>
      <xdr:nvPicPr>
        <xdr:cNvPr id="7" name="Picture 6">
          <a:extLst>
            <a:ext uri="{FF2B5EF4-FFF2-40B4-BE49-F238E27FC236}">
              <a16:creationId xmlns:a16="http://schemas.microsoft.com/office/drawing/2014/main" id="{BCDBF80C-5FC1-4E05-99B0-4BE628294DA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928953" y="190500"/>
          <a:ext cx="2272072" cy="94879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219075</xdr:colOff>
      <xdr:row>0</xdr:row>
      <xdr:rowOff>180975</xdr:rowOff>
    </xdr:from>
    <xdr:to>
      <xdr:col>2</xdr:col>
      <xdr:colOff>683384</xdr:colOff>
      <xdr:row>5</xdr:row>
      <xdr:rowOff>177270</xdr:rowOff>
    </xdr:to>
    <xdr:pic>
      <xdr:nvPicPr>
        <xdr:cNvPr id="5" name="Picture 4">
          <a:extLst>
            <a:ext uri="{FF2B5EF4-FFF2-40B4-BE49-F238E27FC236}">
              <a16:creationId xmlns:a16="http://schemas.microsoft.com/office/drawing/2014/main" id="{4618C7E7-062F-4834-9F84-81724ED19B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19075" y="180975"/>
          <a:ext cx="2016884" cy="948795"/>
        </a:xfrm>
        <a:prstGeom prst="rect">
          <a:avLst/>
        </a:prstGeom>
      </xdr:spPr>
    </xdr:pic>
    <xdr:clientData/>
  </xdr:twoCellAnchor>
  <xdr:twoCellAnchor>
    <xdr:from>
      <xdr:col>2</xdr:col>
      <xdr:colOff>1200181</xdr:colOff>
      <xdr:row>0</xdr:row>
      <xdr:rowOff>187564</xdr:rowOff>
    </xdr:from>
    <xdr:to>
      <xdr:col>3</xdr:col>
      <xdr:colOff>790520</xdr:colOff>
      <xdr:row>5</xdr:row>
      <xdr:rowOff>58671</xdr:rowOff>
    </xdr:to>
    <xdr:sp macro="" textlink="">
      <xdr:nvSpPr>
        <xdr:cNvPr id="6" name="TextBox 5">
          <a:hlinkClick xmlns:r="http://schemas.openxmlformats.org/officeDocument/2006/relationships" r:id="rId2"/>
          <a:extLst>
            <a:ext uri="{FF2B5EF4-FFF2-40B4-BE49-F238E27FC236}">
              <a16:creationId xmlns:a16="http://schemas.microsoft.com/office/drawing/2014/main" id="{D6FD4EF9-FF34-4CAD-B01B-7BA86EDBD763}"/>
            </a:ext>
          </a:extLst>
        </xdr:cNvPr>
        <xdr:cNvSpPr txBox="1"/>
      </xdr:nvSpPr>
      <xdr:spPr>
        <a:xfrm>
          <a:off x="2752756" y="187564"/>
          <a:ext cx="3333664" cy="8236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rPr>
            <a:t>Contact details:</a:t>
          </a:r>
        </a:p>
        <a:p>
          <a:r>
            <a:rPr lang="en-GB" sz="1100">
              <a:solidFill>
                <a:sysClr val="windowText" lastClr="000000"/>
              </a:solidFill>
            </a:rPr>
            <a:t>Email:</a:t>
          </a:r>
          <a:r>
            <a:rPr lang="en-GB" sz="1100" baseline="0">
              <a:solidFill>
                <a:sysClr val="windowText" lastClr="000000"/>
              </a:solidFill>
            </a:rPr>
            <a:t> </a:t>
          </a:r>
          <a:r>
            <a:rPr lang="en-GB" sz="1100">
              <a:solidFill>
                <a:sysClr val="windowText" lastClr="000000"/>
              </a:solidFill>
            </a:rPr>
            <a:t>Kidneycanceraudit@rcseng.ac.uk</a:t>
          </a:r>
        </a:p>
        <a:p>
          <a:r>
            <a:rPr lang="en-GB" sz="1100">
              <a:solidFill>
                <a:sysClr val="windowText" lastClr="000000"/>
              </a:solidFill>
            </a:rPr>
            <a:t>Webpage: https://www.natcan.org.uk/audits/kidney/</a:t>
          </a:r>
        </a:p>
        <a:p>
          <a:r>
            <a:rPr lang="en-GB" sz="1100">
              <a:solidFill>
                <a:sysClr val="windowText" lastClr="000000"/>
              </a:solidFill>
            </a:rPr>
            <a:t>Twitter/X: @NKCA_NATCAN</a:t>
          </a:r>
        </a:p>
        <a:p>
          <a:endParaRPr lang="en-GB" sz="1100">
            <a:solidFill>
              <a:srgbClr val="7030A0"/>
            </a:solidFill>
          </a:endParaRPr>
        </a:p>
        <a:p>
          <a:endParaRPr lang="en-GB" sz="1100">
            <a:solidFill>
              <a:srgbClr val="7030A0"/>
            </a:solidFill>
          </a:endParaRPr>
        </a:p>
        <a:p>
          <a:endParaRPr lang="en-GB" sz="1100">
            <a:solidFill>
              <a:srgbClr val="7030A0"/>
            </a:solidFill>
          </a:endParaRPr>
        </a:p>
      </xdr:txBody>
    </xdr:sp>
    <xdr:clientData/>
  </xdr:twoCellAnchor>
  <xdr:twoCellAnchor>
    <xdr:from>
      <xdr:col>3</xdr:col>
      <xdr:colOff>956904</xdr:colOff>
      <xdr:row>0</xdr:row>
      <xdr:rowOff>180975</xdr:rowOff>
    </xdr:from>
    <xdr:to>
      <xdr:col>4</xdr:col>
      <xdr:colOff>671592</xdr:colOff>
      <xdr:row>5</xdr:row>
      <xdr:rowOff>177270</xdr:rowOff>
    </xdr:to>
    <xdr:pic>
      <xdr:nvPicPr>
        <xdr:cNvPr id="7" name="Picture 6">
          <a:extLst>
            <a:ext uri="{FF2B5EF4-FFF2-40B4-BE49-F238E27FC236}">
              <a16:creationId xmlns:a16="http://schemas.microsoft.com/office/drawing/2014/main" id="{10746E61-0688-4671-8F7C-89ADF996086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252804" y="180975"/>
          <a:ext cx="2429313" cy="94879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822652</xdr:colOff>
      <xdr:row>5</xdr:row>
      <xdr:rowOff>23812</xdr:rowOff>
    </xdr:to>
    <xdr:pic>
      <xdr:nvPicPr>
        <xdr:cNvPr id="3" name="Picture 2">
          <a:extLst>
            <a:ext uri="{FF2B5EF4-FFF2-40B4-BE49-F238E27FC236}">
              <a16:creationId xmlns:a16="http://schemas.microsoft.com/office/drawing/2014/main" id="{00000000-0008-0000-1A00-000003000000}"/>
            </a:ext>
          </a:extLst>
        </xdr:cNvPr>
        <xdr:cNvPicPr>
          <a:picLocks noChangeAspect="1"/>
        </xdr:cNvPicPr>
      </xdr:nvPicPr>
      <xdr:blipFill rotWithShape="1">
        <a:blip xmlns:r="http://schemas.openxmlformats.org/officeDocument/2006/relationships" r:embed="rId1"/>
        <a:srcRect l="7841" t="3345" r="35731" b="86063"/>
        <a:stretch/>
      </xdr:blipFill>
      <xdr:spPr>
        <a:xfrm>
          <a:off x="0" y="0"/>
          <a:ext cx="4644558" cy="988218"/>
        </a:xfrm>
        <a:prstGeom prst="rect">
          <a:avLst/>
        </a:prstGeom>
        <a:ln>
          <a:noFill/>
        </a:ln>
      </xdr:spPr>
    </xdr:pic>
    <xdr:clientData/>
  </xdr:twoCellAnchor>
  <xdr:twoCellAnchor editAs="oneCell">
    <xdr:from>
      <xdr:col>10</xdr:col>
      <xdr:colOff>59531</xdr:colOff>
      <xdr:row>22</xdr:row>
      <xdr:rowOff>14740</xdr:rowOff>
    </xdr:from>
    <xdr:to>
      <xdr:col>15</xdr:col>
      <xdr:colOff>404813</xdr:colOff>
      <xdr:row>48</xdr:row>
      <xdr:rowOff>166687</xdr:rowOff>
    </xdr:to>
    <xdr:graphicFrame macro="">
      <xdr:nvGraphicFramePr>
        <xdr:cNvPr id="4" name="Chart 3">
          <a:extLst>
            <a:ext uri="{FF2B5EF4-FFF2-40B4-BE49-F238E27FC236}">
              <a16:creationId xmlns:a16="http://schemas.microsoft.com/office/drawing/2014/main" id="{00000000-0008-0000-1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4</xdr:col>
      <xdr:colOff>708373</xdr:colOff>
      <xdr:row>24</xdr:row>
      <xdr:rowOff>35846</xdr:rowOff>
    </xdr:from>
    <xdr:to>
      <xdr:col>14</xdr:col>
      <xdr:colOff>833654</xdr:colOff>
      <xdr:row>28</xdr:row>
      <xdr:rowOff>167237</xdr:rowOff>
    </xdr:to>
    <xdr:sp macro="" textlink="">
      <xdr:nvSpPr>
        <xdr:cNvPr id="11" name="TextBox 10">
          <a:extLst>
            <a:ext uri="{FF2B5EF4-FFF2-40B4-BE49-F238E27FC236}">
              <a16:creationId xmlns:a16="http://schemas.microsoft.com/office/drawing/2014/main" id="{00000000-0008-0000-1A00-00000B000000}"/>
            </a:ext>
          </a:extLst>
        </xdr:cNvPr>
        <xdr:cNvSpPr txBox="1"/>
      </xdr:nvSpPr>
      <xdr:spPr>
        <a:xfrm rot="19172411">
          <a:off x="4530279" y="4631659"/>
          <a:ext cx="12329188" cy="893391"/>
        </a:xfrm>
        <a:prstGeom prst="rect">
          <a:avLst/>
        </a:prstGeom>
        <a:solidFill>
          <a:srgbClr val="FFFF0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NOTE: Data included in this example quarterly report are ONLY for the purpose of </a:t>
          </a:r>
          <a:r>
            <a:rPr lang="en-GB" sz="1100" baseline="0">
              <a:solidFill>
                <a:schemeClr val="dk1"/>
              </a:solidFill>
              <a:effectLst/>
              <a:latin typeface="+mn-lt"/>
              <a:ea typeface="+mn-ea"/>
              <a:cs typeface="+mn-cs"/>
            </a:rPr>
            <a:t>illustrating possible layouts and NOT for inference/reference </a:t>
          </a:r>
          <a:endParaRPr lang="en-GB">
            <a:effectLst/>
          </a:endParaRPr>
        </a:p>
        <a:p>
          <a:r>
            <a:rPr lang="en-GB" sz="1100" baseline="0">
              <a:solidFill>
                <a:schemeClr val="dk1"/>
              </a:solidFill>
              <a:effectLst/>
              <a:latin typeface="+mn-lt"/>
              <a:ea typeface="+mn-ea"/>
              <a:cs typeface="+mn-cs"/>
            </a:rPr>
            <a:t>This example quarterly report is populated with two different </a:t>
          </a:r>
          <a:r>
            <a:rPr lang="en-GB" sz="1100">
              <a:solidFill>
                <a:schemeClr val="dk1"/>
              </a:solidFill>
              <a:effectLst/>
              <a:latin typeface="+mn-lt"/>
              <a:ea typeface="+mn-ea"/>
              <a:cs typeface="+mn-cs"/>
            </a:rPr>
            <a:t>data</a:t>
          </a:r>
          <a:r>
            <a:rPr lang="en-GB" sz="1100" baseline="0">
              <a:solidFill>
                <a:schemeClr val="dk1"/>
              </a:solidFill>
              <a:effectLst/>
              <a:latin typeface="+mn-lt"/>
              <a:ea typeface="+mn-ea"/>
              <a:cs typeface="+mn-cs"/>
            </a:rPr>
            <a:t> sources (2023 SOTN data viewer and Q4 2023 quarterly report), which span differnt time periods - data presented in different tables/figures therefore do not cover the same patient cohort. </a:t>
          </a:r>
          <a:endParaRPr lang="en-GB">
            <a:effectLst/>
          </a:endParaRPr>
        </a:p>
        <a:p>
          <a:r>
            <a:rPr lang="en-GB" sz="1100" baseline="0">
              <a:solidFill>
                <a:schemeClr val="dk1"/>
              </a:solidFill>
              <a:effectLst/>
              <a:latin typeface="+mn-lt"/>
              <a:ea typeface="+mn-ea"/>
              <a:cs typeface="+mn-cs"/>
            </a:rPr>
            <a:t>See version control worksheet for further details of source data files used to develop this example quarterly report</a:t>
          </a:r>
          <a:endParaRPr lang="en-GB">
            <a:effectLst/>
          </a:endParaRPr>
        </a:p>
      </xdr:txBody>
    </xdr:sp>
    <xdr:clientData/>
  </xdr:twoCellAnchor>
  <xdr:twoCellAnchor>
    <xdr:from>
      <xdr:col>4</xdr:col>
      <xdr:colOff>1298692</xdr:colOff>
      <xdr:row>1</xdr:row>
      <xdr:rowOff>123028</xdr:rowOff>
    </xdr:from>
    <xdr:to>
      <xdr:col>6</xdr:col>
      <xdr:colOff>1074854</xdr:colOff>
      <xdr:row>3</xdr:row>
      <xdr:rowOff>95249</xdr:rowOff>
    </xdr:to>
    <xdr:sp macro="" textlink="">
      <xdr:nvSpPr>
        <xdr:cNvPr id="13" name="TextBox 12">
          <a:extLst>
            <a:ext uri="{FF2B5EF4-FFF2-40B4-BE49-F238E27FC236}">
              <a16:creationId xmlns:a16="http://schemas.microsoft.com/office/drawing/2014/main" id="{00000000-0008-0000-1A00-00000D000000}"/>
            </a:ext>
          </a:extLst>
        </xdr:cNvPr>
        <xdr:cNvSpPr txBox="1"/>
      </xdr:nvSpPr>
      <xdr:spPr>
        <a:xfrm>
          <a:off x="5120598" y="313528"/>
          <a:ext cx="2478881" cy="353221"/>
        </a:xfrm>
        <a:prstGeom prst="rect">
          <a:avLst/>
        </a:prstGeom>
        <a:solidFill>
          <a:srgbClr val="FFFF0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a:t>CONFIDENTIAL DRAFT </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584527</xdr:colOff>
      <xdr:row>5</xdr:row>
      <xdr:rowOff>23812</xdr:rowOff>
    </xdr:to>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rotWithShape="1">
        <a:blip xmlns:r="http://schemas.openxmlformats.org/officeDocument/2006/relationships" r:embed="rId1"/>
        <a:srcRect l="7841" t="3345" r="35731" b="86063"/>
        <a:stretch/>
      </xdr:blipFill>
      <xdr:spPr>
        <a:xfrm>
          <a:off x="0" y="0"/>
          <a:ext cx="4642177" cy="985837"/>
        </a:xfrm>
        <a:prstGeom prst="rect">
          <a:avLst/>
        </a:prstGeom>
        <a:ln>
          <a:noFill/>
        </a:ln>
      </xdr:spPr>
    </xdr:pic>
    <xdr:clientData/>
  </xdr:twoCellAnchor>
  <xdr:twoCellAnchor>
    <xdr:from>
      <xdr:col>5</xdr:col>
      <xdr:colOff>676275</xdr:colOff>
      <xdr:row>1</xdr:row>
      <xdr:rowOff>9523</xdr:rowOff>
    </xdr:from>
    <xdr:to>
      <xdr:col>7</xdr:col>
      <xdr:colOff>595313</xdr:colOff>
      <xdr:row>2</xdr:row>
      <xdr:rowOff>178593</xdr:rowOff>
    </xdr:to>
    <xdr:sp macro="" textlink="">
      <xdr:nvSpPr>
        <xdr:cNvPr id="9" name="TextBox 8">
          <a:extLst>
            <a:ext uri="{FF2B5EF4-FFF2-40B4-BE49-F238E27FC236}">
              <a16:creationId xmlns:a16="http://schemas.microsoft.com/office/drawing/2014/main" id="{00000000-0008-0000-1B00-000009000000}"/>
            </a:ext>
          </a:extLst>
        </xdr:cNvPr>
        <xdr:cNvSpPr txBox="1"/>
      </xdr:nvSpPr>
      <xdr:spPr>
        <a:xfrm>
          <a:off x="4736306" y="200023"/>
          <a:ext cx="2478882" cy="359570"/>
        </a:xfrm>
        <a:prstGeom prst="rect">
          <a:avLst/>
        </a:prstGeom>
        <a:solidFill>
          <a:srgbClr val="FFFF0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a:t>CONFIDENTIAL DRAFT </a:t>
          </a:r>
        </a:p>
      </xdr:txBody>
    </xdr:sp>
    <xdr:clientData/>
  </xdr:twoCellAnchor>
  <xdr:twoCellAnchor>
    <xdr:from>
      <xdr:col>0</xdr:col>
      <xdr:colOff>0</xdr:colOff>
      <xdr:row>23</xdr:row>
      <xdr:rowOff>71436</xdr:rowOff>
    </xdr:from>
    <xdr:to>
      <xdr:col>11</xdr:col>
      <xdr:colOff>327689</xdr:colOff>
      <xdr:row>27</xdr:row>
      <xdr:rowOff>166227</xdr:rowOff>
    </xdr:to>
    <xdr:sp macro="" textlink="">
      <xdr:nvSpPr>
        <xdr:cNvPr id="10" name="TextBox 9">
          <a:extLst>
            <a:ext uri="{FF2B5EF4-FFF2-40B4-BE49-F238E27FC236}">
              <a16:creationId xmlns:a16="http://schemas.microsoft.com/office/drawing/2014/main" id="{00000000-0008-0000-1B00-00000A000000}"/>
            </a:ext>
            <a:ext uri="{147F2762-F138-4A5C-976F-8EAC2B608ADB}">
              <a16:predDERef xmlns:a16="http://schemas.microsoft.com/office/drawing/2014/main" pred="{00000000-0008-0000-0400-000009000000}"/>
            </a:ext>
          </a:extLst>
        </xdr:cNvPr>
        <xdr:cNvSpPr txBox="1"/>
      </xdr:nvSpPr>
      <xdr:spPr>
        <a:xfrm rot="19745471">
          <a:off x="0" y="4652961"/>
          <a:ext cx="12329189" cy="856791"/>
        </a:xfrm>
        <a:prstGeom prst="rect">
          <a:avLst/>
        </a:prstGeom>
        <a:solidFill>
          <a:srgbClr val="FFFF0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NOTE: Data included in this example quarterly report are ONLY for the purpose of </a:t>
          </a:r>
          <a:r>
            <a:rPr lang="en-GB" sz="1100" baseline="0">
              <a:solidFill>
                <a:schemeClr val="dk1"/>
              </a:solidFill>
              <a:effectLst/>
              <a:latin typeface="+mn-lt"/>
              <a:ea typeface="+mn-ea"/>
              <a:cs typeface="+mn-cs"/>
            </a:rPr>
            <a:t>illustrating possible layouts and NOT for inference/reference </a:t>
          </a:r>
          <a:endParaRPr lang="en-GB">
            <a:effectLst/>
          </a:endParaRPr>
        </a:p>
        <a:p>
          <a:r>
            <a:rPr lang="en-GB" sz="1100" baseline="0">
              <a:solidFill>
                <a:schemeClr val="dk1"/>
              </a:solidFill>
              <a:effectLst/>
              <a:latin typeface="+mn-lt"/>
              <a:ea typeface="+mn-ea"/>
              <a:cs typeface="+mn-cs"/>
            </a:rPr>
            <a:t>This example quarterly report is populated with two different </a:t>
          </a:r>
          <a:r>
            <a:rPr lang="en-GB" sz="1100">
              <a:solidFill>
                <a:schemeClr val="dk1"/>
              </a:solidFill>
              <a:effectLst/>
              <a:latin typeface="+mn-lt"/>
              <a:ea typeface="+mn-ea"/>
              <a:cs typeface="+mn-cs"/>
            </a:rPr>
            <a:t>data</a:t>
          </a:r>
          <a:r>
            <a:rPr lang="en-GB" sz="1100" baseline="0">
              <a:solidFill>
                <a:schemeClr val="dk1"/>
              </a:solidFill>
              <a:effectLst/>
              <a:latin typeface="+mn-lt"/>
              <a:ea typeface="+mn-ea"/>
              <a:cs typeface="+mn-cs"/>
            </a:rPr>
            <a:t> sources (2023 SOTN data viewer and Q4 2023 quarterly report), which span differnt time periods - data presented in different tables/figures therefore do not cover the same patient cohort. </a:t>
          </a:r>
          <a:endParaRPr lang="en-GB">
            <a:effectLst/>
          </a:endParaRPr>
        </a:p>
        <a:p>
          <a:r>
            <a:rPr lang="en-GB" sz="1100" baseline="0">
              <a:solidFill>
                <a:schemeClr val="dk1"/>
              </a:solidFill>
              <a:effectLst/>
              <a:latin typeface="+mn-lt"/>
              <a:ea typeface="+mn-ea"/>
              <a:cs typeface="+mn-cs"/>
            </a:rPr>
            <a:t>See version control worksheet for further details of source data files used to develop this example quarterly report</a:t>
          </a:r>
          <a:endParaRPr lang="en-GB">
            <a:effectLst/>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rcsengacuk.sharepoint.com/sites/Dataworkinggroup/Shared%20Documents/Quarterly%20reporting/NATCAN_quarterly_report_using_NLCA_stripped%20version_JN.xlsx" TargetMode="External"/><Relationship Id="rId1" Type="http://schemas.openxmlformats.org/officeDocument/2006/relationships/externalLinkPath" Target="https://rcsengacuk.sharepoint.com/sites/Dataworkinggroup/Shared%20Documents/Quarterly%20reporting/NATCAN_quarterly_report_using_NLCA_stripped%20version_JN.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S:\NATCAN_Projects\Kidney\12_Quarterly%20Reports\2_July%202024\2024.07.11_REF495_NKCA-Jan2021-Dec2023-Eng-data.xlsx" TargetMode="External"/><Relationship Id="rId1" Type="http://schemas.openxmlformats.org/officeDocument/2006/relationships/externalLinkPath" Target="/NATCAN_Projects/Kidney/12_Quarterly%20Reports/2_July%202024/2024.07.11_REF495_NKCA-Jan2021-Dec2023-Eng-data.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EMayne\AppData\Local\Microsoft\Windows\INetCache\Content.Outlook\Q4EWDS7Z\2024.07.11_REF493_NPaCA-Jan2023-Dec2023-Eng-data_v0.2.xlsx" TargetMode="External"/><Relationship Id="rId1" Type="http://schemas.openxmlformats.org/officeDocument/2006/relationships/externalLinkPath" Target="file:///C:\Users\EMayne\AppData\Local\Microsoft\Windows\INetCache\Content.Outlook\Q4EWDS7Z\2024.07.11_REF493_NPaCA-Jan2023-Dec2023-Eng-data_v0.2.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S:\NATCAN_Projects\Kidney\12_Quarterly%20Reports\NKCA_data_viewer_Q2_2024_v0.1.xlsx" TargetMode="External"/><Relationship Id="rId1" Type="http://schemas.openxmlformats.org/officeDocument/2006/relationships/externalLinkPath" Target="/NATCAN_Projects/Kidney/12_Quarterly%20Reports/NKCA_data_viewer_Q2_2024_v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troduction"/>
      <sheetName val="Explanations"/>
      <sheetName val="Acknowledgements"/>
      <sheetName val="Dashboard-cross section"/>
      <sheetName val="Dashboard-longitudinal"/>
      <sheetName val="Dashboard-pt char"/>
      <sheetName val="Links"/>
      <sheetName val="data_staging_longitudinal"/>
      <sheetName val="Lists"/>
      <sheetName val="Version_control"/>
      <sheetName val="Adaptation notes"/>
      <sheetName val="trust_list"/>
      <sheetName val="trusts_per_ca"/>
      <sheetName val="stage_p"/>
      <sheetName val="chk trust lists"/>
      <sheetName val="trust_data_quality"/>
      <sheetName val="aliance_data_quality"/>
      <sheetName val="national_data_quality"/>
      <sheetName val="trust_patient_char"/>
      <sheetName val="aliance_patient_chars"/>
      <sheetName val="national_patient_chars"/>
    </sheetNames>
    <sheetDataSet>
      <sheetData sheetId="0" refreshError="1"/>
      <sheetData sheetId="1" refreshError="1"/>
      <sheetData sheetId="2" refreshError="1"/>
      <sheetData sheetId="3" refreshError="1"/>
      <sheetData sheetId="4" refreshError="1"/>
      <sheetData sheetId="5" refreshError="1"/>
      <sheetData sheetId="6">
        <row r="8">
          <cell r="B8" t="str">
            <v>Barnsley Hospital NHS Foundation Trust</v>
          </cell>
          <cell r="D8" t="str">
            <v>South Yorkshire and Bassetlaw</v>
          </cell>
          <cell r="F8">
            <v>4</v>
          </cell>
        </row>
        <row r="12">
          <cell r="B12" t="str">
            <v>Airedale NHS Foundation Trust</v>
          </cell>
          <cell r="C12" t="str">
            <v>RCF</v>
          </cell>
          <cell r="D12" t="str">
            <v>West Yorkshire and Harrogate</v>
          </cell>
        </row>
        <row r="16">
          <cell r="B16" t="str">
            <v>Airedale NHS Foundation Trust</v>
          </cell>
          <cell r="D16" t="str">
            <v>West Yorkshire and Harrogate</v>
          </cell>
        </row>
        <row r="22">
          <cell r="B22" t="str">
            <v>Data completeness for Morphology (among all patients)</v>
          </cell>
          <cell r="C22" t="str">
            <v>morph_p</v>
          </cell>
          <cell r="D22" t="str">
            <v>NA</v>
          </cell>
          <cell r="E22" t="str">
            <v>n</v>
          </cell>
          <cell r="F22" t="str">
            <v>Number of patients with a new diagnosis of lung cancer (excludes mesothelioma), with morphology recorded</v>
          </cell>
          <cell r="G22" t="str">
            <v>Number of patients with a new diagnosis of lung cancer (excludes mesothelioma)</v>
          </cell>
          <cell r="H22" t="str">
            <v>[ to be added ]</v>
          </cell>
          <cell r="I22" t="str">
            <v>[ to be added ]</v>
          </cell>
          <cell r="J22" t="str">
            <v>April 2020 to March 2023</v>
          </cell>
        </row>
        <row r="26">
          <cell r="B26" t="str">
            <v>Data completeness for TNM stage</v>
          </cell>
          <cell r="C26" t="str">
            <v>stage_p</v>
          </cell>
          <cell r="D26">
            <v>0.9</v>
          </cell>
          <cell r="F26" t="str">
            <v>Number of patients with a new diagnosis of lung cancer (excludes mesothelioma), with TNM recorded</v>
          </cell>
          <cell r="G26" t="str">
            <v>Number of patients with a new diagnosis of lung cancer (excludes mesothelioma)</v>
          </cell>
          <cell r="H26" t="str">
            <v>[ to be added ]</v>
          </cell>
          <cell r="I26" t="str">
            <v>[ to be added ]</v>
          </cell>
          <cell r="J26" t="str">
            <v>April 2020 to March 2023</v>
          </cell>
        </row>
      </sheetData>
      <sheetData sheetId="7" refreshError="1"/>
      <sheetData sheetId="8">
        <row r="9">
          <cell r="B9" t="str">
            <v>Lists!A10:I19</v>
          </cell>
        </row>
        <row r="24">
          <cell r="B24" t="str">
            <v>trust_data_quality!$A$2:$S$127</v>
          </cell>
        </row>
        <row r="25">
          <cell r="B25" t="str">
            <v>trust_data_quality!$A$2:$A$127</v>
          </cell>
          <cell r="F25">
            <v>0</v>
          </cell>
        </row>
        <row r="26">
          <cell r="B26" t="str">
            <v>trust_data_quality!$A$1:$S$1</v>
          </cell>
        </row>
        <row r="27">
          <cell r="B27" t="str">
            <v>aliance_data_quality!$A$2:$Q$22</v>
          </cell>
          <cell r="F27" t="str">
            <v>!A1:BI127</v>
          </cell>
        </row>
        <row r="28">
          <cell r="B28" t="str">
            <v>aliance_data_quality!$A$2:$A$22</v>
          </cell>
          <cell r="F28" t="str">
            <v>!A1:BI1</v>
          </cell>
        </row>
        <row r="29">
          <cell r="B29" t="str">
            <v>aliance_data_quality!$A$1:$Q$1</v>
          </cell>
          <cell r="F29" t="str">
            <v>!A1:A127</v>
          </cell>
        </row>
        <row r="31">
          <cell r="B31" t="str">
            <v>national_data_quality!$A$1:$P$1</v>
          </cell>
        </row>
        <row r="32">
          <cell r="B32" t="str">
            <v>trust_patient_char!$A$2:$BF$127</v>
          </cell>
        </row>
        <row r="33">
          <cell r="B33" t="str">
            <v>trust_patient_char!$B$2:$B$127</v>
          </cell>
        </row>
        <row r="34">
          <cell r="B34" t="str">
            <v>trust_patient_char!$A$1:$BF$1</v>
          </cell>
        </row>
        <row r="35">
          <cell r="B35" t="str">
            <v>aliance_patient_chars!$A$2:$BF$22</v>
          </cell>
        </row>
        <row r="36">
          <cell r="B36" t="str">
            <v>aliance_patient_chars!$A$1:$BF$1</v>
          </cell>
        </row>
        <row r="37">
          <cell r="B37" t="str">
            <v>aliance_patient_chars!$B$2:$B$22</v>
          </cell>
        </row>
        <row r="38">
          <cell r="B38" t="str">
            <v>national_patient_chars!$A$2:$BE$2</v>
          </cell>
        </row>
        <row r="39">
          <cell r="B39" t="str">
            <v>national_patient_chars!$A$1:$BE$1</v>
          </cell>
        </row>
        <row r="46">
          <cell r="B46" t="str">
            <v>April 2020</v>
          </cell>
          <cell r="C46" t="str">
            <v>March 2023</v>
          </cell>
        </row>
        <row r="51">
          <cell r="A51">
            <v>2020</v>
          </cell>
          <cell r="D51">
            <v>2021</v>
          </cell>
          <cell r="H51">
            <v>2022</v>
          </cell>
          <cell r="L51">
            <v>2023</v>
          </cell>
        </row>
        <row r="52">
          <cell r="A52" t="str">
            <v>Q2</v>
          </cell>
          <cell r="B52" t="str">
            <v>Q3</v>
          </cell>
          <cell r="C52" t="str">
            <v>Q4</v>
          </cell>
          <cell r="D52" t="str">
            <v>Q1</v>
          </cell>
          <cell r="E52" t="str">
            <v>Q2</v>
          </cell>
          <cell r="F52" t="str">
            <v>Q3</v>
          </cell>
          <cell r="G52" t="str">
            <v>Q4</v>
          </cell>
          <cell r="H52" t="str">
            <v>Q1</v>
          </cell>
          <cell r="I52" t="str">
            <v>Q2</v>
          </cell>
          <cell r="J52" t="str">
            <v>Q3</v>
          </cell>
          <cell r="K52" t="str">
            <v>Q4</v>
          </cell>
          <cell r="L52" t="str">
            <v>Q1</v>
          </cell>
        </row>
        <row r="56">
          <cell r="B56">
            <v>126</v>
          </cell>
          <cell r="C56">
            <v>21</v>
          </cell>
        </row>
        <row r="61">
          <cell r="B61" t="str">
            <v>Lists!A63:D188</v>
          </cell>
          <cell r="G61" t="str">
            <v>Lists!F62:G83</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
          <cell r="A1" t="str">
            <v>name</v>
          </cell>
          <cell r="B1" t="str">
            <v>n</v>
          </cell>
          <cell r="C1" t="str">
            <v>n2</v>
          </cell>
          <cell r="D1" t="str">
            <v>stage_p</v>
          </cell>
          <cell r="E1" t="str">
            <v>ps_p</v>
          </cell>
          <cell r="F1" t="str">
            <v>morph_p</v>
          </cell>
          <cell r="G1" t="str">
            <v>morph2_p</v>
          </cell>
          <cell r="H1" t="str">
            <v>route_p</v>
          </cell>
          <cell r="I1" t="str">
            <v>basis_p</v>
          </cell>
          <cell r="J1" t="str">
            <v>imd_p</v>
          </cell>
          <cell r="K1" t="str">
            <v>ethnicity_p</v>
          </cell>
          <cell r="L1" t="str">
            <v>cns_p</v>
          </cell>
          <cell r="M1" t="str">
            <v>smoke_p</v>
          </cell>
          <cell r="N1" t="str">
            <v>COLUMNS TO LEFT FOR STATA OUTPUT - COLUMNS TO RIGHT FOR POPULATING DASHBOARD</v>
          </cell>
          <cell r="O1" t="str">
            <v>selected_dq_value</v>
          </cell>
          <cell r="P1" t="str">
            <v>selected_dq_rank</v>
          </cell>
        </row>
        <row r="2">
          <cell r="A2" t="str">
            <v>National</v>
          </cell>
          <cell r="B2">
            <v>34478</v>
          </cell>
          <cell r="C2">
            <v>19790</v>
          </cell>
          <cell r="D2">
            <v>0.86022972106933593</v>
          </cell>
          <cell r="E2">
            <v>0.82667205810546873</v>
          </cell>
          <cell r="F2">
            <v>0.64829750061035152</v>
          </cell>
          <cell r="G2">
            <v>0.97660430908203122</v>
          </cell>
          <cell r="H2">
            <v>0.97372238159179691</v>
          </cell>
          <cell r="I2">
            <v>0.90399673461914065</v>
          </cell>
          <cell r="J2">
            <v>1</v>
          </cell>
          <cell r="K2">
            <v>0.96919776916503908</v>
          </cell>
          <cell r="L2">
            <v>0.59330589294433589</v>
          </cell>
          <cell r="M2">
            <v>0.4932130813598633</v>
          </cell>
          <cell r="O2">
            <v>0.64829750061035152</v>
          </cell>
          <cell r="P2" t="str">
            <v>NA</v>
          </cell>
        </row>
      </sheetData>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
      <sheetName val="Introduction"/>
      <sheetName val="Explanations"/>
      <sheetName val="Acknowledgements"/>
      <sheetName val="Dashboard"/>
      <sheetName val="Links"/>
      <sheetName val="data_staging_longitudinal"/>
      <sheetName val="Lists"/>
      <sheetName val="Version_control"/>
      <sheetName val="Adaptation notes"/>
      <sheetName val="trust_list"/>
      <sheetName val="trusts_per_ca"/>
      <sheetName val="cns_p"/>
      <sheetName val="ethnicity_p"/>
      <sheetName val="size_p"/>
      <sheetName val="mdt_p"/>
      <sheetName val="morph_p"/>
      <sheetName val="ps_p"/>
      <sheetName val="tnm_p"/>
      <sheetName val="full_tnm_p"/>
      <sheetName val="chk trust lists"/>
      <sheetName val="trust_data_quality"/>
      <sheetName val="aliance_data_quality"/>
      <sheetName val="national_data_quality"/>
      <sheetName val="trust_patient_char"/>
      <sheetName val="aliance_patient_chars"/>
      <sheetName val="national_patient_chars"/>
      <sheetName val="Dashboard-cross section"/>
      <sheetName val="Dashboard-pt char"/>
    </sheetNames>
    <sheetDataSet>
      <sheetData sheetId="0"/>
      <sheetData sheetId="1"/>
      <sheetData sheetId="2"/>
      <sheetData sheetId="3"/>
      <sheetData sheetId="4"/>
      <sheetData sheetId="5">
        <row r="12">
          <cell r="B12" t="str">
            <v xml:space="preserve"> ENGLAND</v>
          </cell>
          <cell r="C12" t="str">
            <v>ENG</v>
          </cell>
        </row>
        <row r="26">
          <cell r="B26" t="str">
            <v>Data completeness for Clinical Nurse Specialist</v>
          </cell>
          <cell r="C26" t="str">
            <v>cns_p</v>
          </cell>
          <cell r="D26">
            <v>0.9</v>
          </cell>
          <cell r="F26" t="str">
            <v>Number of people with a new diagnosis of kidney cancer and recorded clinical nurse specialist</v>
          </cell>
          <cell r="G26" t="str">
            <v>Number of people with a new diagnosis of kidney cancer</v>
          </cell>
          <cell r="H26" t="str">
            <v>Cancer Outcomes and Services Dataset</v>
          </cell>
          <cell r="I26" t="str">
            <v>Clinical Nurse Specialist</v>
          </cell>
          <cell r="J26" t="str">
            <v>1st January 2021 and 31st December 2023</v>
          </cell>
        </row>
      </sheetData>
      <sheetData sheetId="6"/>
      <sheetData sheetId="7">
        <row r="9">
          <cell r="B9" t="str">
            <v>Lists!A10:I19</v>
          </cell>
        </row>
        <row r="24">
          <cell r="F24">
            <v>0</v>
          </cell>
        </row>
        <row r="26">
          <cell r="B26" t="str">
            <v>aliance_data_quality!$A$2:$Q$22</v>
          </cell>
          <cell r="F26" t="str">
            <v>!A1:BI127</v>
          </cell>
        </row>
        <row r="27">
          <cell r="B27" t="str">
            <v>aliance_data_quality!$A$2:$A$22</v>
          </cell>
          <cell r="F27" t="str">
            <v>!A1:BI1</v>
          </cell>
        </row>
        <row r="28">
          <cell r="B28" t="str">
            <v>aliance_data_quality!$A$1:$Q$1</v>
          </cell>
          <cell r="F28" t="str">
            <v>!A1:A127</v>
          </cell>
        </row>
        <row r="34">
          <cell r="B34" t="str">
            <v>aliance_patient_chars!$A$2:$BF$22</v>
          </cell>
        </row>
        <row r="35">
          <cell r="B35" t="str">
            <v>aliance_patient_chars!$A$1:$BF$1</v>
          </cell>
        </row>
        <row r="36">
          <cell r="B36" t="str">
            <v>aliance_patient_chars!$B$2:$B$22</v>
          </cell>
        </row>
        <row r="50">
          <cell r="A50">
            <v>2021</v>
          </cell>
          <cell r="E50">
            <v>2022</v>
          </cell>
          <cell r="I50">
            <v>2023</v>
          </cell>
        </row>
        <row r="51">
          <cell r="A51" t="str">
            <v>Q1</v>
          </cell>
          <cell r="B51" t="str">
            <v>Q2</v>
          </cell>
          <cell r="C51" t="str">
            <v>Q3</v>
          </cell>
          <cell r="D51" t="str">
            <v>Q4</v>
          </cell>
          <cell r="E51" t="str">
            <v>Q1</v>
          </cell>
          <cell r="F51" t="str">
            <v>Q2</v>
          </cell>
          <cell r="G51" t="str">
            <v>Q3</v>
          </cell>
          <cell r="H51" t="str">
            <v>Q4</v>
          </cell>
          <cell r="I51" t="str">
            <v>Q1</v>
          </cell>
          <cell r="J51" t="str">
            <v>Q2</v>
          </cell>
          <cell r="K51" t="str">
            <v>Q3</v>
          </cell>
          <cell r="L51" t="str">
            <v>Q4</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
      <sheetName val="Introduction"/>
      <sheetName val="Explanations"/>
      <sheetName val="Acknowledgements"/>
      <sheetName val="Data quality dashboard"/>
      <sheetName val="Patient characteristics"/>
      <sheetName val="Links"/>
      <sheetName val="Lists"/>
      <sheetName val="trust_data_quality"/>
      <sheetName val="alliance_data_quality"/>
      <sheetName val="national_data_quality"/>
      <sheetName val="trust_patient_char"/>
      <sheetName val="alliance_patient_chars"/>
      <sheetName val="national_patient_chars"/>
    </sheetNames>
    <sheetDataSet>
      <sheetData sheetId="0" refreshError="1"/>
      <sheetData sheetId="1" refreshError="1"/>
      <sheetData sheetId="2" refreshError="1"/>
      <sheetData sheetId="3" refreshError="1"/>
      <sheetData sheetId="4" refreshError="1"/>
      <sheetData sheetId="5" refreshError="1"/>
      <sheetData sheetId="6">
        <row r="8">
          <cell r="B8" t="str">
            <v>Airedale NHS Foundation Trust</v>
          </cell>
          <cell r="D8" t="str">
            <v>West Yorkshire and Harrogate</v>
          </cell>
          <cell r="F8">
            <v>6</v>
          </cell>
        </row>
        <row r="16">
          <cell r="B16" t="str">
            <v>Airedale NHS Foundation Trust</v>
          </cell>
          <cell r="D16" t="str">
            <v>West Yorkshire and Harrogate</v>
          </cell>
        </row>
        <row r="22">
          <cell r="B22" t="str">
            <v>Data completeness for Basis of Diagnosis variable</v>
          </cell>
          <cell r="C22" t="str">
            <v>basis_p</v>
          </cell>
          <cell r="D22">
            <v>0.9</v>
          </cell>
          <cell r="E22" t="str">
            <v>n</v>
          </cell>
          <cell r="F22" t="str">
            <v>Number of people with a new diagnosis of pancreatic cancer, with a recorded Basis of Diagnosis</v>
          </cell>
          <cell r="G22" t="str">
            <v>Number of people with a new diagnosis of pancreatic cancer</v>
          </cell>
          <cell r="H22" t="str">
            <v>Rapid Cancer Registration Data</v>
          </cell>
          <cell r="I22" t="str">
            <v>basisofdiagnosis</v>
          </cell>
          <cell r="J22" t="str">
            <v>January 2023 to December 2023</v>
          </cell>
        </row>
      </sheetData>
      <sheetData sheetId="7">
        <row r="9">
          <cell r="C9" t="str">
            <v>Lists!A11:I20</v>
          </cell>
          <cell r="E9" t="str">
            <v>Lists!A11:A20</v>
          </cell>
        </row>
        <row r="26">
          <cell r="B26" t="str">
            <v>trust_data_quality!$A$2:$S$123</v>
          </cell>
        </row>
        <row r="27">
          <cell r="B27" t="str">
            <v>trust_data_quality!$A$2:$A$123</v>
          </cell>
        </row>
        <row r="28">
          <cell r="B28" t="str">
            <v>trust_data_quality!$A$1:$Z$1</v>
          </cell>
        </row>
        <row r="29">
          <cell r="B29" t="str">
            <v>alliance_data_quality!$A$2:$Z$22</v>
          </cell>
        </row>
        <row r="30">
          <cell r="B30" t="str">
            <v>alliance_data_quality!$A$2:$A$22</v>
          </cell>
        </row>
        <row r="31">
          <cell r="B31" t="str">
            <v>alliance_data_quality!$A$1:$Z$1</v>
          </cell>
        </row>
        <row r="33">
          <cell r="B33" t="str">
            <v>national_data_quality!$A$1:$Z$1</v>
          </cell>
        </row>
        <row r="34">
          <cell r="B34" t="str">
            <v>trust_patient_char!$A$2:$AK$123</v>
          </cell>
        </row>
        <row r="35">
          <cell r="B35" t="str">
            <v>trust_patient_char!$B$2:$B$123</v>
          </cell>
        </row>
        <row r="36">
          <cell r="B36" t="str">
            <v>trust_patient_char!$A$1:$AK$1</v>
          </cell>
        </row>
        <row r="37">
          <cell r="B37" t="str">
            <v>alliance_patient_chars!$A$2:$AK$22</v>
          </cell>
        </row>
        <row r="38">
          <cell r="B38" t="str">
            <v>alliance_patient_chars!$A$1:$AK$1</v>
          </cell>
        </row>
        <row r="39">
          <cell r="B39" t="str">
            <v>alliance_patient_chars!$B$2:$B$22</v>
          </cell>
        </row>
        <row r="40">
          <cell r="B40" t="str">
            <v>national_patient_chars!$A$2:$AJ$2</v>
          </cell>
        </row>
        <row r="41">
          <cell r="B41" t="str">
            <v>national_patient_chars!$A$1:$AJ$1</v>
          </cell>
        </row>
        <row r="48">
          <cell r="B48" t="str">
            <v>January 2023</v>
          </cell>
          <cell r="C48" t="str">
            <v>December 2023</v>
          </cell>
          <cell r="F48" t="str">
            <v>January 2022</v>
          </cell>
          <cell r="G48" t="str">
            <v>December 2023</v>
          </cell>
        </row>
        <row r="58">
          <cell r="B58">
            <v>122</v>
          </cell>
          <cell r="C58">
            <v>21</v>
          </cell>
        </row>
        <row r="63">
          <cell r="B63" t="str">
            <v>Lists!A65:D186</v>
          </cell>
          <cell r="G63" t="str">
            <v>Lists!I65:J85</v>
          </cell>
        </row>
      </sheetData>
      <sheetData sheetId="8" refreshError="1"/>
      <sheetData sheetId="9" refreshError="1"/>
      <sheetData sheetId="10">
        <row r="1">
          <cell r="A1" t="str">
            <v>name</v>
          </cell>
          <cell r="B1" t="str">
            <v>n</v>
          </cell>
          <cell r="C1" t="str">
            <v>n2</v>
          </cell>
          <cell r="D1" t="str">
            <v>stage_p</v>
          </cell>
          <cell r="E1" t="str">
            <v>ps_p</v>
          </cell>
          <cell r="F1" t="str">
            <v>morph_p</v>
          </cell>
          <cell r="G1" t="str">
            <v>morph2_p</v>
          </cell>
          <cell r="H1" t="str">
            <v>route_p</v>
          </cell>
          <cell r="I1" t="str">
            <v>basis_p</v>
          </cell>
          <cell r="J1" t="str">
            <v>ethnicity_p</v>
          </cell>
          <cell r="K1" t="str">
            <v>mdt_p</v>
          </cell>
          <cell r="L1" t="str">
            <v>cns_p</v>
          </cell>
          <cell r="M1" t="str">
            <v>hist_p</v>
          </cell>
          <cell r="N1" t="str">
            <v>COLUMNS TO LEFT FOR STATA OUTPUT - COLUMNS TO RIGHT FOR POPULATING DASHBOARD</v>
          </cell>
          <cell r="O1" t="str">
            <v>selected_dq_value</v>
          </cell>
          <cell r="P1" t="str">
            <v>selected_dq_rank</v>
          </cell>
        </row>
        <row r="2">
          <cell r="A2" t="str">
            <v>National</v>
          </cell>
          <cell r="B2">
            <v>9699</v>
          </cell>
          <cell r="C2">
            <v>3418</v>
          </cell>
          <cell r="D2">
            <v>0.54820084571838379</v>
          </cell>
          <cell r="E2">
            <v>0.6127435564994812</v>
          </cell>
          <cell r="F2">
            <v>0.46221259236335749</v>
          </cell>
          <cell r="G2">
            <v>0.89906376600265503</v>
          </cell>
          <cell r="H2">
            <v>0.92525005340576172</v>
          </cell>
          <cell r="I2">
            <v>0.83039486408233643</v>
          </cell>
          <cell r="J2">
            <v>0.92504382133483887</v>
          </cell>
          <cell r="K2">
            <v>0.61109393835067749</v>
          </cell>
          <cell r="L2">
            <v>0.50015467405319214</v>
          </cell>
          <cell r="M2">
            <v>0.35240745544433588</v>
          </cell>
          <cell r="O2">
            <v>0.83039486408233643</v>
          </cell>
          <cell r="P2" t="str">
            <v>NA</v>
          </cell>
        </row>
      </sheetData>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troduction"/>
      <sheetName val="Explanations"/>
      <sheetName val="Acknowledgements"/>
      <sheetName val="Dashboard"/>
      <sheetName val="NPCA Introduction"/>
      <sheetName val="NPCA Acknowledgements"/>
      <sheetName val="links"/>
      <sheetName val="data_staging"/>
      <sheetName val="lists"/>
      <sheetName val="ethnicity_complete"/>
      <sheetName val="perf_status_complete"/>
      <sheetName val="morph_complete"/>
      <sheetName val="tnm_complete"/>
      <sheetName val="fulltnm_complete"/>
      <sheetName val="cns_complete"/>
      <sheetName val="size_complete"/>
      <sheetName val="mdt_complete"/>
      <sheetName val="version control"/>
    </sheetNames>
    <sheetDataSet>
      <sheetData sheetId="0"/>
      <sheetData sheetId="1"/>
      <sheetData sheetId="2"/>
      <sheetData sheetId="3"/>
      <sheetData sheetId="4"/>
      <sheetData sheetId="5"/>
      <sheetData sheetId="6">
        <row r="7">
          <cell r="B7" t="str">
            <v>Proportion of patients with performance status recorded</v>
          </cell>
          <cell r="C7" t="str">
            <v>perf_status_complete</v>
          </cell>
        </row>
        <row r="12">
          <cell r="B12" t="str">
            <v>Airedale NHS Foundation Trust</v>
          </cell>
          <cell r="C12" t="str">
            <v>RCF</v>
          </cell>
        </row>
      </sheetData>
      <sheetData sheetId="7">
        <row r="28">
          <cell r="F28" t="str">
            <v>NA</v>
          </cell>
        </row>
        <row r="32">
          <cell r="F32">
            <v>10.691265761852264</v>
          </cell>
        </row>
      </sheetData>
      <sheetData sheetId="8">
        <row r="24">
          <cell r="C24">
            <v>2024</v>
          </cell>
          <cell r="D24" t="str">
            <v>Q2 2024</v>
          </cell>
        </row>
      </sheetData>
      <sheetData sheetId="9"/>
      <sheetData sheetId="10"/>
      <sheetData sheetId="11"/>
      <sheetData sheetId="12"/>
      <sheetData sheetId="13"/>
      <sheetData sheetId="14"/>
      <sheetData sheetId="15"/>
      <sheetData sheetId="16"/>
      <sheetData sheetId="17"/>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CC7345F-CBC2-4BCB-9BE7-8D7227B18B54}" name="Table3" displayName="Table3" ref="B8:K28" totalsRowShown="0" headerRowDxfId="30" dataDxfId="29" headerRowCellStyle="Normal 7" dataCellStyle="Percent 3">
  <autoFilter ref="B8:K28" xr:uid="{5CC7345F-CBC2-4BCB-9BE7-8D7227B18B54}"/>
  <sortState xmlns:xlrd2="http://schemas.microsoft.com/office/spreadsheetml/2017/richdata2" ref="B9:K28">
    <sortCondition ref="B8:B28"/>
  </sortState>
  <tableColumns count="10">
    <tableColumn id="1" xr3:uid="{0CB15A15-E7A3-4635-BCC5-80418CF002AB}" name="Cancer Alliance" dataCellStyle="Normal 7"/>
    <tableColumn id="2" xr3:uid="{AF9B6F8A-6672-4776-B625-6C46FBB7B4DE}" name="Percentage of people with Clinical Nurse Specialist recorded (%)" dataDxfId="28" dataCellStyle="Percent 3"/>
    <tableColumn id="3" xr3:uid="{0E9AB6D9-07B1-4E2B-A83B-ADF6525060D9}" name="Percentage of people with Ethnicity recorded (%)" dataDxfId="27" dataCellStyle="Percent 3"/>
    <tableColumn id="4" xr3:uid="{2E8FBC73-4C1E-4E32-9D1B-80302919FBEE}" name="Percentage of people with Lesion Size (pathological) recorded (%)" dataDxfId="26" dataCellStyle="Percent 3"/>
    <tableColumn id="5" xr3:uid="{C505B886-C7EE-41CB-AA3C-AF0339FFABDC}" name="Percentage of people with MDT First Meeting Date recorded (%)" dataDxfId="25" dataCellStyle="Percent 3"/>
    <tableColumn id="6" xr3:uid="{C7F47ECB-3B4B-496E-84A9-6BD1C2557D7E}" name="Percentage of people diagnosed based on histology or cytology with Morphology recorded (%)" dataDxfId="24" dataCellStyle="Percent 3"/>
    <tableColumn id="7" xr3:uid="{F44D351F-2A46-4996-B454-366978ADA9DB}" name="Percentage of people with Performance Status recorded (%)" dataDxfId="23" dataCellStyle="Percent 3"/>
    <tableColumn id="8" xr3:uid="{A3EA70F6-ED14-4273-A3A1-79F2A1F0451A}" name="Percentage of people with TNM stage (T stage (1-4), N stage and M stage complete) recorded (%)" dataDxfId="22" dataCellStyle="Percent 3"/>
    <tableColumn id="9" xr3:uid="{0D01367D-F79D-414F-9CC5-ED717547ADE5}" name="Percentage of TNM staging information (full T stage (1a, 1b, etc.), N stage and M stage complete) recorded (%)" dataDxfId="21" dataCellStyle="Percent 3"/>
    <tableColumn id="10" xr3:uid="{C969B098-8612-4575-A51C-11F24905F545}" name="Unadjusted percentage of people who receive treatment for kidney cancer that receive their first treatment within 31 days of decision to treat (%)" dataDxfId="20" dataCellStyle="Percent 3"/>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F6ECFCB-4B25-4FAA-9850-87D898CD3256}" name="Table2" displayName="Table2" ref="B12:O133" totalsRowShown="0" headerRowDxfId="19" headerRowCellStyle="Normal 7" dataCellStyle="Normal 7">
  <autoFilter ref="B12:O133" xr:uid="{1F6ECFCB-4B25-4FAA-9850-87D898CD3256}"/>
  <sortState xmlns:xlrd2="http://schemas.microsoft.com/office/spreadsheetml/2017/richdata2" ref="B13:O133">
    <sortCondition ref="D12:D133"/>
  </sortState>
  <tableColumns count="14">
    <tableColumn id="1" xr3:uid="{049FFF7A-308E-41F3-A1E7-3B1E69808C94}" name="Trust Code" dataCellStyle="Normal 7"/>
    <tableColumn id="2" xr3:uid="{5C771AE7-C10C-4882-B3DF-15462933BF61}" name="Trust Name" dataCellStyle="Normal 7"/>
    <tableColumn id="3" xr3:uid="{B33FA8A6-076F-4EC8-ADE5-C18651E9FE7A}" name="Cancer Alliance" dataCellStyle="Normal 7"/>
    <tableColumn id="4" xr3:uid="{DAB7AEC5-7AE5-4B19-8260-B5E82334E72C}" name="&lt;60 years old (%)" dataCellStyle="Percent"/>
    <tableColumn id="5" xr3:uid="{E5A53200-5C16-4DB2-B99A-F9D230BCC724}" name="60-69 years old (%)" dataCellStyle="Percent"/>
    <tableColumn id="6" xr3:uid="{84E279E8-C048-4F75-BFAE-40D098353330}" name="70-79 years old (%)" dataCellStyle="Percent"/>
    <tableColumn id="7" xr3:uid="{354247BC-214D-410D-8993-15E0F58EFAE8}" name="≥80 years old (%)" dataCellStyle="Percent"/>
    <tableColumn id="8" xr3:uid="{20482105-AD09-45D6-B9E1-0B9126BE4FD8}" name="Male (%)" dataCellStyle="Percent"/>
    <tableColumn id="9" xr3:uid="{52BBB96B-3EE8-4061-8193-1ED382F4CF6D}" name="Female (%)" dataCellStyle="Percent"/>
    <tableColumn id="10" xr3:uid="{4F03CE3A-ED2B-45DF-8C82-C67B78DFE5EE}" name="IMD 1 - least deprived (%)" dataCellStyle="Percent"/>
    <tableColumn id="11" xr3:uid="{F293F6F7-63F3-41EE-A9AA-7531A0AD1332}" name="IMD 2 (%) " dataCellStyle="Percent"/>
    <tableColumn id="12" xr3:uid="{33431049-5574-4DE6-94DA-D233FF77A6D5}" name="IMD 3 (%) " dataCellStyle="Percent"/>
    <tableColumn id="13" xr3:uid="{C90D1BC9-5D1D-4D7A-B2F2-81A4A9F0C62D}" name="IMD 4 (%) " dataCellStyle="Percent"/>
    <tableColumn id="14" xr3:uid="{0D5A3F28-B246-4461-92A5-54A7216E06DB}" name="IMD 5 - most deprived (%)" dataCellStyle="Percent"/>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44FAC44-9E3E-4001-9A47-F2DCDFBD3DA3}" name="Table1" displayName="Table1" ref="A1:C9" totalsRowShown="0">
  <autoFilter ref="A1:C9" xr:uid="{844FAC44-9E3E-4001-9A47-F2DCDFBD3DA3}"/>
  <tableColumns count="3">
    <tableColumn id="1" xr3:uid="{35A9CF3A-4269-49E1-9EA6-48AC9EAB8781}" name="Version"/>
    <tableColumn id="2" xr3:uid="{AA271304-19B4-46BD-B845-CAF5A8DB40CD}" name="Changes"/>
    <tableColumn id="3" xr3:uid="{298AC1EB-F4F5-4B5B-8977-3FBDC72BCC9B}" name="Author"/>
  </tableColumns>
  <tableStyleInfo name="TableStyleLight1"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2.xml.rels><?xml version="1.0" encoding="UTF-8" standalone="yes"?>
<Relationships xmlns="http://schemas.openxmlformats.org/package/2006/relationships"><Relationship Id="rId3" Type="http://schemas.openxmlformats.org/officeDocument/2006/relationships/hyperlink" Target="https://digital.nhs.uk/ndrs/data/data-sets/rcrd" TargetMode="External"/><Relationship Id="rId2" Type="http://schemas.openxmlformats.org/officeDocument/2006/relationships/hyperlink" Target="https://www.natcan.org.uk/audits/kidney/" TargetMode="External"/><Relationship Id="rId1" Type="http://schemas.openxmlformats.org/officeDocument/2006/relationships/hyperlink" Target="https://www.natcan.org.uk/" TargetMode="External"/><Relationship Id="rId5" Type="http://schemas.openxmlformats.org/officeDocument/2006/relationships/drawing" Target="../drawings/drawing2.xml"/><Relationship Id="rId4" Type="http://schemas.openxmlformats.org/officeDocument/2006/relationships/printerSettings" Target="../printerSettings/printerSettings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natcan.org.uk/resources/npaca-key-cosd-data-items-2023-2024/" TargetMode="External"/><Relationship Id="rId1" Type="http://schemas.openxmlformats.org/officeDocument/2006/relationships/hyperlink" Target="https://www.natcan.org.uk/faqs/faqs-for-professionals/" TargetMode="External"/><Relationship Id="rId4"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hyperlink" Target="https://www.hqip.org.uk/national-programmes" TargetMode="Externa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5.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446B8-5895-44E4-98E3-72DF6FA691F9}">
  <dimension ref="B9:D24"/>
  <sheetViews>
    <sheetView tabSelected="1" workbookViewId="0">
      <selection activeCell="F12" sqref="F12"/>
    </sheetView>
  </sheetViews>
  <sheetFormatPr defaultColWidth="8.88671875" defaultRowHeight="14.4" x14ac:dyDescent="0.3"/>
  <cols>
    <col min="1" max="1" width="8.88671875" style="209"/>
    <col min="2" max="2" width="23.88671875" style="209" customWidth="1"/>
    <col min="3" max="3" width="4.5546875" style="209" customWidth="1"/>
    <col min="4" max="4" width="73" style="209" customWidth="1"/>
    <col min="5" max="16384" width="8.88671875" style="209"/>
  </cols>
  <sheetData>
    <row r="9" spans="2:4" x14ac:dyDescent="0.3">
      <c r="B9" s="208" t="s">
        <v>785</v>
      </c>
      <c r="C9" s="252" t="s">
        <v>786</v>
      </c>
      <c r="D9" s="252"/>
    </row>
    <row r="10" spans="2:4" x14ac:dyDescent="0.3">
      <c r="B10" s="208" t="s">
        <v>787</v>
      </c>
      <c r="C10" s="252" t="s">
        <v>841</v>
      </c>
      <c r="D10" s="252"/>
    </row>
    <row r="11" spans="2:4" x14ac:dyDescent="0.3">
      <c r="B11" s="208" t="s">
        <v>788</v>
      </c>
      <c r="C11" s="252" t="s">
        <v>842</v>
      </c>
      <c r="D11" s="252"/>
    </row>
    <row r="12" spans="2:4" x14ac:dyDescent="0.3">
      <c r="B12" s="208" t="s">
        <v>789</v>
      </c>
      <c r="C12" s="252" t="s">
        <v>790</v>
      </c>
      <c r="D12" s="252"/>
    </row>
    <row r="13" spans="2:4" x14ac:dyDescent="0.3">
      <c r="B13" s="208" t="s">
        <v>791</v>
      </c>
      <c r="C13" s="252" t="s">
        <v>843</v>
      </c>
      <c r="D13" s="252"/>
    </row>
    <row r="14" spans="2:4" x14ac:dyDescent="0.3">
      <c r="B14" s="208" t="s">
        <v>792</v>
      </c>
      <c r="C14" s="253">
        <v>45575</v>
      </c>
      <c r="D14" s="253"/>
    </row>
    <row r="15" spans="2:4" x14ac:dyDescent="0.3">
      <c r="B15" s="247" t="s">
        <v>793</v>
      </c>
      <c r="C15" s="210" t="s">
        <v>794</v>
      </c>
      <c r="D15" s="208" t="s">
        <v>795</v>
      </c>
    </row>
    <row r="16" spans="2:4" x14ac:dyDescent="0.3">
      <c r="B16" s="248"/>
      <c r="C16" s="210" t="s">
        <v>794</v>
      </c>
      <c r="D16" s="208" t="s">
        <v>797</v>
      </c>
    </row>
    <row r="17" spans="2:4" x14ac:dyDescent="0.3">
      <c r="B17" s="248"/>
      <c r="C17" s="210" t="s">
        <v>796</v>
      </c>
      <c r="D17" s="208" t="s">
        <v>934</v>
      </c>
    </row>
    <row r="18" spans="2:4" x14ac:dyDescent="0.3">
      <c r="B18" s="248"/>
      <c r="C18" s="210" t="s">
        <v>794</v>
      </c>
      <c r="D18" s="208" t="s">
        <v>798</v>
      </c>
    </row>
    <row r="19" spans="2:4" x14ac:dyDescent="0.3">
      <c r="B19" s="248"/>
      <c r="C19" s="210" t="s">
        <v>794</v>
      </c>
      <c r="D19" s="208" t="s">
        <v>799</v>
      </c>
    </row>
    <row r="20" spans="2:4" x14ac:dyDescent="0.3">
      <c r="B20" s="248"/>
      <c r="C20" s="210" t="s">
        <v>794</v>
      </c>
      <c r="D20" s="208" t="s">
        <v>800</v>
      </c>
    </row>
    <row r="21" spans="2:4" x14ac:dyDescent="0.3">
      <c r="B21" s="249"/>
      <c r="C21" s="210" t="s">
        <v>794</v>
      </c>
      <c r="D21" s="208" t="s">
        <v>801</v>
      </c>
    </row>
    <row r="22" spans="2:4" ht="29.4" customHeight="1" x14ac:dyDescent="0.3">
      <c r="B22" s="211" t="s">
        <v>802</v>
      </c>
      <c r="C22" s="250" t="s">
        <v>844</v>
      </c>
      <c r="D22" s="250"/>
    </row>
    <row r="23" spans="2:4" x14ac:dyDescent="0.3">
      <c r="B23" s="208" t="s">
        <v>803</v>
      </c>
      <c r="C23" s="251" t="s">
        <v>845</v>
      </c>
      <c r="D23" s="251"/>
    </row>
    <row r="24" spans="2:4" x14ac:dyDescent="0.3">
      <c r="B24" s="209" t="s">
        <v>804</v>
      </c>
    </row>
  </sheetData>
  <mergeCells count="9">
    <mergeCell ref="B15:B21"/>
    <mergeCell ref="C22:D22"/>
    <mergeCell ref="C23:D23"/>
    <mergeCell ref="C9:D9"/>
    <mergeCell ref="C10:D10"/>
    <mergeCell ref="C11:D11"/>
    <mergeCell ref="C12:D12"/>
    <mergeCell ref="C13:D13"/>
    <mergeCell ref="C14:D14"/>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79998168889431442"/>
  </sheetPr>
  <dimension ref="A1:L186"/>
  <sheetViews>
    <sheetView zoomScale="88" zoomScaleNormal="100" workbookViewId="0">
      <selection activeCell="E17" sqref="E17"/>
    </sheetView>
  </sheetViews>
  <sheetFormatPr defaultRowHeight="14.4" x14ac:dyDescent="0.3"/>
  <cols>
    <col min="1" max="1" width="51.5546875" bestFit="1" customWidth="1"/>
    <col min="2" max="2" width="20.33203125" customWidth="1"/>
    <col min="3" max="3" width="19.6640625" customWidth="1"/>
    <col min="4" max="4" width="20.6640625" customWidth="1"/>
    <col min="5" max="5" width="19.6640625" customWidth="1"/>
    <col min="6" max="6" width="65.6640625" customWidth="1"/>
    <col min="7" max="7" width="19.44140625" bestFit="1" customWidth="1"/>
    <col min="8" max="8" width="15.6640625" customWidth="1"/>
    <col min="9" max="9" width="75" customWidth="1"/>
    <col min="10" max="10" width="15.5546875" customWidth="1"/>
    <col min="11" max="11" width="4.88671875" bestFit="1" customWidth="1"/>
    <col min="12" max="12" width="10.109375" customWidth="1"/>
    <col min="13" max="13" width="5" bestFit="1" customWidth="1"/>
  </cols>
  <sheetData>
    <row r="1" spans="1:10" x14ac:dyDescent="0.3">
      <c r="A1" t="s">
        <v>159</v>
      </c>
    </row>
    <row r="2" spans="1:10" x14ac:dyDescent="0.3">
      <c r="A2" s="100" t="s">
        <v>160</v>
      </c>
    </row>
    <row r="3" spans="1:10" x14ac:dyDescent="0.3">
      <c r="A3" s="101" t="s">
        <v>161</v>
      </c>
    </row>
    <row r="6" spans="1:10" x14ac:dyDescent="0.3">
      <c r="A6" s="1" t="s">
        <v>162</v>
      </c>
    </row>
    <row r="7" spans="1:10" x14ac:dyDescent="0.3">
      <c r="A7" t="s">
        <v>163</v>
      </c>
    </row>
    <row r="8" spans="1:10" x14ac:dyDescent="0.3">
      <c r="A8" s="23" t="s">
        <v>164</v>
      </c>
      <c r="B8" s="75" t="s">
        <v>165</v>
      </c>
      <c r="C8" s="75" t="s">
        <v>166</v>
      </c>
      <c r="D8" s="75" t="s">
        <v>167</v>
      </c>
      <c r="E8" s="75" t="s">
        <v>168</v>
      </c>
    </row>
    <row r="9" spans="1:10" ht="15" thickBot="1" x14ac:dyDescent="0.35">
      <c r="A9" s="23" t="s">
        <v>169</v>
      </c>
      <c r="B9" s="3" t="s">
        <v>892</v>
      </c>
      <c r="C9" s="3" t="s">
        <v>892</v>
      </c>
      <c r="D9" s="3" t="s">
        <v>774</v>
      </c>
      <c r="E9" s="3" t="s">
        <v>893</v>
      </c>
    </row>
    <row r="10" spans="1:10" x14ac:dyDescent="0.3">
      <c r="A10" s="100" t="s">
        <v>170</v>
      </c>
      <c r="B10" s="96" t="s">
        <v>171</v>
      </c>
      <c r="C10" s="101" t="s">
        <v>20</v>
      </c>
      <c r="D10" s="96" t="s">
        <v>172</v>
      </c>
      <c r="E10" s="101" t="s">
        <v>12</v>
      </c>
      <c r="F10" s="101" t="s">
        <v>13</v>
      </c>
      <c r="G10" s="101" t="s">
        <v>16</v>
      </c>
      <c r="H10" s="101" t="s">
        <v>17</v>
      </c>
      <c r="I10" s="101" t="s">
        <v>22</v>
      </c>
      <c r="J10" s="101" t="s">
        <v>772</v>
      </c>
    </row>
    <row r="11" spans="1:10" x14ac:dyDescent="0.3">
      <c r="A11" s="221" t="s">
        <v>850</v>
      </c>
      <c r="B11" s="90" t="s">
        <v>175</v>
      </c>
      <c r="C11" s="98">
        <v>0.9</v>
      </c>
      <c r="D11" s="90" t="s">
        <v>174</v>
      </c>
      <c r="E11" s="90" t="s">
        <v>859</v>
      </c>
      <c r="F11" s="90" t="s">
        <v>860</v>
      </c>
      <c r="G11" s="90" t="s">
        <v>680</v>
      </c>
      <c r="H11" s="90" t="s">
        <v>869</v>
      </c>
      <c r="I11" s="97" t="s">
        <v>840</v>
      </c>
      <c r="J11" s="97" t="s">
        <v>773</v>
      </c>
    </row>
    <row r="12" spans="1:10" x14ac:dyDescent="0.3">
      <c r="A12" s="166" t="s">
        <v>710</v>
      </c>
      <c r="B12" s="3" t="s">
        <v>176</v>
      </c>
      <c r="C12" s="98">
        <v>0.9</v>
      </c>
      <c r="D12" s="3" t="s">
        <v>174</v>
      </c>
      <c r="E12" s="3" t="s">
        <v>861</v>
      </c>
      <c r="F12" s="90" t="s">
        <v>860</v>
      </c>
      <c r="G12" s="90" t="s">
        <v>661</v>
      </c>
      <c r="H12" s="3" t="s">
        <v>662</v>
      </c>
      <c r="I12" s="97" t="s">
        <v>840</v>
      </c>
      <c r="J12" s="97" t="s">
        <v>773</v>
      </c>
    </row>
    <row r="13" spans="1:10" x14ac:dyDescent="0.3">
      <c r="A13" s="222" t="s">
        <v>851</v>
      </c>
      <c r="B13" s="98" t="s">
        <v>856</v>
      </c>
      <c r="C13" s="98">
        <v>0.9</v>
      </c>
      <c r="D13" s="98" t="s">
        <v>174</v>
      </c>
      <c r="E13" s="98" t="s">
        <v>862</v>
      </c>
      <c r="F13" s="90" t="s">
        <v>860</v>
      </c>
      <c r="G13" s="90" t="s">
        <v>680</v>
      </c>
      <c r="H13" s="98" t="s">
        <v>870</v>
      </c>
      <c r="I13" s="200" t="s">
        <v>873</v>
      </c>
      <c r="J13" s="97" t="s">
        <v>773</v>
      </c>
    </row>
    <row r="14" spans="1:10" x14ac:dyDescent="0.3">
      <c r="A14" s="166" t="s">
        <v>852</v>
      </c>
      <c r="B14" s="3" t="s">
        <v>857</v>
      </c>
      <c r="C14" s="98">
        <v>0.9</v>
      </c>
      <c r="D14" s="3" t="s">
        <v>174</v>
      </c>
      <c r="E14" s="3" t="s">
        <v>863</v>
      </c>
      <c r="F14" s="90" t="s">
        <v>860</v>
      </c>
      <c r="G14" s="90" t="s">
        <v>680</v>
      </c>
      <c r="H14" s="3" t="s">
        <v>871</v>
      </c>
      <c r="I14" s="97" t="s">
        <v>840</v>
      </c>
      <c r="J14" s="97" t="s">
        <v>773</v>
      </c>
    </row>
    <row r="15" spans="1:10" x14ac:dyDescent="0.3">
      <c r="A15" s="222" t="s">
        <v>853</v>
      </c>
      <c r="B15" s="98" t="s">
        <v>178</v>
      </c>
      <c r="C15" s="223">
        <v>0.9</v>
      </c>
      <c r="D15" s="98" t="s">
        <v>174</v>
      </c>
      <c r="E15" s="98" t="s">
        <v>864</v>
      </c>
      <c r="F15" s="90" t="s">
        <v>865</v>
      </c>
      <c r="G15" s="90" t="s">
        <v>661</v>
      </c>
      <c r="H15" s="98" t="s">
        <v>872</v>
      </c>
      <c r="I15" s="97" t="s">
        <v>840</v>
      </c>
      <c r="J15" s="97" t="s">
        <v>773</v>
      </c>
    </row>
    <row r="16" spans="1:10" x14ac:dyDescent="0.3">
      <c r="A16" s="166" t="s">
        <v>711</v>
      </c>
      <c r="B16" s="3" t="s">
        <v>179</v>
      </c>
      <c r="C16" s="98">
        <v>0.9</v>
      </c>
      <c r="D16" s="3" t="s">
        <v>174</v>
      </c>
      <c r="E16" s="3" t="s">
        <v>866</v>
      </c>
      <c r="F16" s="90" t="s">
        <v>860</v>
      </c>
      <c r="G16" s="90" t="s">
        <v>661</v>
      </c>
      <c r="H16" s="3" t="s">
        <v>664</v>
      </c>
      <c r="I16" s="97" t="s">
        <v>840</v>
      </c>
      <c r="J16" s="97" t="s">
        <v>773</v>
      </c>
    </row>
    <row r="17" spans="1:10" x14ac:dyDescent="0.3">
      <c r="A17" s="222" t="s">
        <v>854</v>
      </c>
      <c r="B17" s="98" t="s">
        <v>660</v>
      </c>
      <c r="C17" s="98">
        <v>0.9</v>
      </c>
      <c r="D17" s="98" t="s">
        <v>174</v>
      </c>
      <c r="E17" s="98" t="s">
        <v>867</v>
      </c>
      <c r="F17" s="90" t="s">
        <v>860</v>
      </c>
      <c r="G17" s="90" t="s">
        <v>680</v>
      </c>
      <c r="H17" s="98" t="s">
        <v>663</v>
      </c>
      <c r="I17" s="200" t="s">
        <v>873</v>
      </c>
      <c r="J17" s="97" t="s">
        <v>773</v>
      </c>
    </row>
    <row r="18" spans="1:10" x14ac:dyDescent="0.3">
      <c r="A18" s="166" t="s">
        <v>855</v>
      </c>
      <c r="B18" s="3" t="s">
        <v>858</v>
      </c>
      <c r="C18" s="98">
        <v>0.9</v>
      </c>
      <c r="D18" s="3" t="s">
        <v>174</v>
      </c>
      <c r="E18" s="3" t="s">
        <v>868</v>
      </c>
      <c r="F18" s="90" t="s">
        <v>860</v>
      </c>
      <c r="G18" s="90" t="s">
        <v>680</v>
      </c>
      <c r="H18" s="3" t="s">
        <v>663</v>
      </c>
      <c r="I18" s="200" t="s">
        <v>873</v>
      </c>
      <c r="J18" s="97" t="s">
        <v>773</v>
      </c>
    </row>
    <row r="19" spans="1:10" x14ac:dyDescent="0.3">
      <c r="A19" s="166" t="s">
        <v>896</v>
      </c>
      <c r="B19" s="3" t="s">
        <v>891</v>
      </c>
      <c r="C19" s="98" t="s">
        <v>897</v>
      </c>
      <c r="D19" s="3" t="s">
        <v>174</v>
      </c>
      <c r="E19" s="3" t="s">
        <v>895</v>
      </c>
      <c r="F19" s="90" t="s">
        <v>894</v>
      </c>
      <c r="G19" s="90" t="s">
        <v>925</v>
      </c>
      <c r="H19" s="3" t="s">
        <v>897</v>
      </c>
      <c r="I19" s="97" t="s">
        <v>915</v>
      </c>
      <c r="J19" s="97" t="s">
        <v>773</v>
      </c>
    </row>
    <row r="24" spans="1:10" x14ac:dyDescent="0.3">
      <c r="A24" s="1" t="s">
        <v>183</v>
      </c>
    </row>
    <row r="26" spans="1:10" x14ac:dyDescent="0.3">
      <c r="A26" t="s">
        <v>184</v>
      </c>
      <c r="B26" t="s">
        <v>169</v>
      </c>
      <c r="C26" t="s">
        <v>164</v>
      </c>
    </row>
    <row r="27" spans="1:10" ht="15" thickBot="1" x14ac:dyDescent="0.35">
      <c r="A27" s="14" t="s">
        <v>185</v>
      </c>
      <c r="B27" s="106" t="s">
        <v>186</v>
      </c>
      <c r="C27" s="14" t="s">
        <v>187</v>
      </c>
      <c r="E27" t="s">
        <v>188</v>
      </c>
      <c r="F27" s="75" t="s">
        <v>189</v>
      </c>
      <c r="G27" s="75" t="s">
        <v>66</v>
      </c>
    </row>
    <row r="28" spans="1:10" ht="15" thickBot="1" x14ac:dyDescent="0.35">
      <c r="A28" s="14" t="s">
        <v>190</v>
      </c>
      <c r="B28" s="106" t="s">
        <v>191</v>
      </c>
      <c r="C28" s="14" t="s">
        <v>192</v>
      </c>
      <c r="E28" s="75" t="s">
        <v>193</v>
      </c>
      <c r="F28" s="76">
        <v>0</v>
      </c>
      <c r="G28" s="75" t="s">
        <v>194</v>
      </c>
    </row>
    <row r="29" spans="1:10" ht="15" thickBot="1" x14ac:dyDescent="0.35">
      <c r="A29" s="14" t="s">
        <v>195</v>
      </c>
      <c r="B29" s="106" t="s">
        <v>196</v>
      </c>
      <c r="C29" s="14" t="s">
        <v>197</v>
      </c>
      <c r="E29" s="75" t="s">
        <v>198</v>
      </c>
      <c r="F29" s="76" t="str">
        <f>"NA"</f>
        <v>NA</v>
      </c>
      <c r="G29" s="75" t="s">
        <v>199</v>
      </c>
    </row>
    <row r="30" spans="1:10" ht="15" thickBot="1" x14ac:dyDescent="0.35">
      <c r="A30" s="14" t="s">
        <v>185</v>
      </c>
      <c r="B30" s="106" t="s">
        <v>200</v>
      </c>
      <c r="C30" s="14" t="s">
        <v>201</v>
      </c>
      <c r="E30" s="75" t="s">
        <v>202</v>
      </c>
      <c r="F30" s="167" t="s">
        <v>756</v>
      </c>
      <c r="G30" s="75" t="s">
        <v>203</v>
      </c>
    </row>
    <row r="31" spans="1:10" ht="15" thickBot="1" x14ac:dyDescent="0.35">
      <c r="A31" s="14" t="s">
        <v>190</v>
      </c>
      <c r="B31" s="106" t="s">
        <v>204</v>
      </c>
      <c r="C31" s="14" t="s">
        <v>205</v>
      </c>
      <c r="E31" s="75" t="s">
        <v>206</v>
      </c>
      <c r="F31" s="168" t="s">
        <v>757</v>
      </c>
      <c r="G31" s="75" t="s">
        <v>207</v>
      </c>
    </row>
    <row r="32" spans="1:10" ht="15" thickBot="1" x14ac:dyDescent="0.35">
      <c r="A32" s="14" t="s">
        <v>195</v>
      </c>
      <c r="B32" s="106" t="s">
        <v>208</v>
      </c>
      <c r="C32" s="14" t="s">
        <v>209</v>
      </c>
      <c r="E32" s="75" t="s">
        <v>210</v>
      </c>
      <c r="F32" s="168" t="s">
        <v>211</v>
      </c>
      <c r="G32" s="75" t="s">
        <v>212</v>
      </c>
    </row>
    <row r="33" spans="1:5" x14ac:dyDescent="0.3">
      <c r="A33" s="14" t="s">
        <v>185</v>
      </c>
      <c r="B33" s="106" t="s">
        <v>213</v>
      </c>
      <c r="C33" s="14" t="s">
        <v>214</v>
      </c>
    </row>
    <row r="34" spans="1:5" x14ac:dyDescent="0.3">
      <c r="A34" s="14" t="s">
        <v>195</v>
      </c>
      <c r="B34" s="106" t="s">
        <v>215</v>
      </c>
      <c r="C34" s="14" t="s">
        <v>216</v>
      </c>
    </row>
    <row r="35" spans="1:5" x14ac:dyDescent="0.3">
      <c r="A35" s="14" t="s">
        <v>217</v>
      </c>
      <c r="B35" s="106" t="s">
        <v>218</v>
      </c>
      <c r="C35" s="14" t="s">
        <v>219</v>
      </c>
    </row>
    <row r="36" spans="1:5" x14ac:dyDescent="0.3">
      <c r="A36" s="14" t="s">
        <v>220</v>
      </c>
      <c r="B36" s="106" t="s">
        <v>221</v>
      </c>
      <c r="C36" s="14" t="s">
        <v>222</v>
      </c>
    </row>
    <row r="37" spans="1:5" x14ac:dyDescent="0.3">
      <c r="A37" s="14" t="s">
        <v>223</v>
      </c>
      <c r="B37" s="106" t="s">
        <v>224</v>
      </c>
      <c r="C37" s="14" t="s">
        <v>225</v>
      </c>
    </row>
    <row r="38" spans="1:5" x14ac:dyDescent="0.3">
      <c r="A38" s="14" t="s">
        <v>217</v>
      </c>
      <c r="B38" s="106" t="s">
        <v>226</v>
      </c>
      <c r="C38" s="14" t="s">
        <v>227</v>
      </c>
    </row>
    <row r="39" spans="1:5" x14ac:dyDescent="0.3">
      <c r="A39" s="14" t="s">
        <v>228</v>
      </c>
      <c r="B39" s="106" t="s">
        <v>229</v>
      </c>
      <c r="C39" s="14" t="s">
        <v>230</v>
      </c>
    </row>
    <row r="40" spans="1:5" x14ac:dyDescent="0.3">
      <c r="A40" s="14" t="s">
        <v>220</v>
      </c>
      <c r="B40" s="106" t="s">
        <v>231</v>
      </c>
      <c r="C40" s="14" t="s">
        <v>232</v>
      </c>
    </row>
    <row r="41" spans="1:5" x14ac:dyDescent="0.3">
      <c r="A41" s="14" t="s">
        <v>217</v>
      </c>
      <c r="B41" s="106" t="s">
        <v>233</v>
      </c>
      <c r="C41" s="14" t="s">
        <v>234</v>
      </c>
    </row>
    <row r="42" spans="1:5" x14ac:dyDescent="0.3">
      <c r="A42" s="14" t="s">
        <v>228</v>
      </c>
      <c r="B42" s="106" t="s">
        <v>235</v>
      </c>
      <c r="C42" s="14" t="s">
        <v>236</v>
      </c>
    </row>
    <row r="46" spans="1:5" x14ac:dyDescent="0.3">
      <c r="A46" s="1" t="s">
        <v>237</v>
      </c>
    </row>
    <row r="47" spans="1:5" ht="15" thickBot="1" x14ac:dyDescent="0.35">
      <c r="A47" s="1"/>
    </row>
    <row r="48" spans="1:5" x14ac:dyDescent="0.3">
      <c r="A48" s="23" t="s">
        <v>66</v>
      </c>
      <c r="B48" s="58" t="s">
        <v>238</v>
      </c>
      <c r="C48" s="59" t="s">
        <v>239</v>
      </c>
      <c r="D48" s="59" t="s">
        <v>240</v>
      </c>
      <c r="E48" s="60" t="s">
        <v>241</v>
      </c>
    </row>
    <row r="49" spans="1:12" ht="15" thickBot="1" x14ac:dyDescent="0.35">
      <c r="A49" s="23" t="s">
        <v>72</v>
      </c>
      <c r="B49" s="161" t="s">
        <v>874</v>
      </c>
      <c r="C49" s="165" t="s">
        <v>875</v>
      </c>
      <c r="D49" s="165">
        <v>2024</v>
      </c>
      <c r="E49" s="162" t="s">
        <v>876</v>
      </c>
    </row>
    <row r="51" spans="1:12" x14ac:dyDescent="0.3">
      <c r="A51" s="101" t="s">
        <v>242</v>
      </c>
    </row>
    <row r="52" spans="1:12" x14ac:dyDescent="0.3">
      <c r="A52" s="23" t="s">
        <v>243</v>
      </c>
      <c r="B52" t="s">
        <v>244</v>
      </c>
    </row>
    <row r="53" spans="1:12" ht="15" thickBot="1" x14ac:dyDescent="0.35">
      <c r="A53" s="23" t="s">
        <v>169</v>
      </c>
      <c r="B53" s="3" t="s">
        <v>877</v>
      </c>
    </row>
    <row r="54" spans="1:12" x14ac:dyDescent="0.3">
      <c r="A54" s="163">
        <v>2021</v>
      </c>
      <c r="B54" s="163"/>
      <c r="C54" s="163"/>
      <c r="D54" s="163">
        <v>2022</v>
      </c>
      <c r="E54" s="163"/>
      <c r="F54" s="163"/>
      <c r="G54" s="163"/>
      <c r="H54" s="163">
        <v>2023</v>
      </c>
      <c r="I54" s="163"/>
      <c r="J54" s="163"/>
      <c r="K54" s="163"/>
      <c r="L54" s="164">
        <v>2024</v>
      </c>
    </row>
    <row r="55" spans="1:12" ht="15" thickBot="1" x14ac:dyDescent="0.35">
      <c r="A55" s="161" t="s">
        <v>245</v>
      </c>
      <c r="B55" s="165" t="s">
        <v>246</v>
      </c>
      <c r="C55" s="165" t="s">
        <v>247</v>
      </c>
      <c r="D55" s="165" t="s">
        <v>248</v>
      </c>
      <c r="E55" s="165" t="s">
        <v>245</v>
      </c>
      <c r="F55" s="165" t="s">
        <v>246</v>
      </c>
      <c r="G55" s="165" t="s">
        <v>247</v>
      </c>
      <c r="H55" s="165" t="s">
        <v>248</v>
      </c>
      <c r="I55" s="165" t="s">
        <v>245</v>
      </c>
      <c r="J55" s="165" t="s">
        <v>246</v>
      </c>
      <c r="K55" s="165" t="s">
        <v>247</v>
      </c>
      <c r="L55" s="162" t="s">
        <v>248</v>
      </c>
    </row>
    <row r="57" spans="1:12" ht="15" thickBot="1" x14ac:dyDescent="0.35">
      <c r="A57" s="1" t="s">
        <v>249</v>
      </c>
    </row>
    <row r="58" spans="1:12" x14ac:dyDescent="0.3">
      <c r="A58" s="23" t="s">
        <v>66</v>
      </c>
      <c r="B58" s="58" t="s">
        <v>250</v>
      </c>
      <c r="C58" s="60" t="s">
        <v>251</v>
      </c>
    </row>
    <row r="59" spans="1:12" ht="15" thickBot="1" x14ac:dyDescent="0.35">
      <c r="A59" s="23" t="s">
        <v>72</v>
      </c>
      <c r="B59" s="161">
        <f>COUNTA(A66:A186)</f>
        <v>121</v>
      </c>
      <c r="C59" s="162">
        <f>COUNTA(F66:F88)</f>
        <v>0</v>
      </c>
    </row>
    <row r="61" spans="1:12" x14ac:dyDescent="0.3">
      <c r="A61" s="1" t="s">
        <v>252</v>
      </c>
      <c r="E61" t="s">
        <v>32</v>
      </c>
      <c r="F61" s="1" t="s">
        <v>253</v>
      </c>
      <c r="H61" t="s">
        <v>32</v>
      </c>
    </row>
    <row r="62" spans="1:12" x14ac:dyDescent="0.3">
      <c r="A62" t="s">
        <v>254</v>
      </c>
    </row>
    <row r="63" spans="1:12" x14ac:dyDescent="0.3">
      <c r="A63" s="23" t="s">
        <v>164</v>
      </c>
      <c r="B63" t="s">
        <v>255</v>
      </c>
      <c r="F63" s="23" t="s">
        <v>243</v>
      </c>
      <c r="G63" t="s">
        <v>256</v>
      </c>
    </row>
    <row r="64" spans="1:12" x14ac:dyDescent="0.3">
      <c r="A64" s="23" t="s">
        <v>169</v>
      </c>
      <c r="B64" s="3" t="s">
        <v>927</v>
      </c>
      <c r="F64" s="23" t="s">
        <v>169</v>
      </c>
      <c r="G64" s="3" t="s">
        <v>257</v>
      </c>
    </row>
    <row r="65" spans="1:6" x14ac:dyDescent="0.3">
      <c r="A65" s="100" t="s">
        <v>258</v>
      </c>
      <c r="B65" s="100" t="s">
        <v>259</v>
      </c>
      <c r="C65" s="10" t="s">
        <v>260</v>
      </c>
      <c r="D65" s="10" t="s">
        <v>261</v>
      </c>
      <c r="E65">
        <f>COUNTA(B66:B186)</f>
        <v>121</v>
      </c>
      <c r="F65">
        <f>SUM(E66:E186)</f>
        <v>121</v>
      </c>
    </row>
    <row r="66" spans="1:6" x14ac:dyDescent="0.3">
      <c r="A66" s="199" t="s">
        <v>708</v>
      </c>
      <c r="B66" s="193" t="s">
        <v>685</v>
      </c>
      <c r="C66" s="90"/>
      <c r="D66" s="90"/>
      <c r="E66">
        <f>IF(A66=B66,0,1)</f>
        <v>1</v>
      </c>
    </row>
    <row r="67" spans="1:6" x14ac:dyDescent="0.3">
      <c r="A67" s="199" t="s">
        <v>29</v>
      </c>
      <c r="B67" s="193" t="s">
        <v>262</v>
      </c>
      <c r="C67" s="98"/>
      <c r="D67" s="98"/>
      <c r="E67">
        <f t="shared" ref="E67:E128" si="0">IF(A67=B67,0,1)</f>
        <v>1</v>
      </c>
    </row>
    <row r="68" spans="1:6" x14ac:dyDescent="0.3">
      <c r="A68" s="199" t="s">
        <v>266</v>
      </c>
      <c r="B68" s="193" t="s">
        <v>267</v>
      </c>
      <c r="C68" s="3"/>
      <c r="D68" s="3"/>
      <c r="E68">
        <f t="shared" si="0"/>
        <v>1</v>
      </c>
    </row>
    <row r="69" spans="1:6" x14ac:dyDescent="0.3">
      <c r="A69" s="199" t="s">
        <v>271</v>
      </c>
      <c r="B69" s="193" t="s">
        <v>272</v>
      </c>
      <c r="C69" s="98"/>
      <c r="D69" s="98"/>
      <c r="E69">
        <f t="shared" si="0"/>
        <v>1</v>
      </c>
    </row>
    <row r="70" spans="1:6" x14ac:dyDescent="0.3">
      <c r="A70" s="199" t="s">
        <v>15</v>
      </c>
      <c r="B70" s="193" t="s">
        <v>276</v>
      </c>
      <c r="C70" s="3"/>
      <c r="D70" s="3"/>
      <c r="E70">
        <f t="shared" si="0"/>
        <v>1</v>
      </c>
    </row>
    <row r="71" spans="1:6" x14ac:dyDescent="0.3">
      <c r="A71" s="199" t="s">
        <v>280</v>
      </c>
      <c r="B71" s="193" t="s">
        <v>281</v>
      </c>
      <c r="C71" s="98"/>
      <c r="D71" s="98"/>
      <c r="E71">
        <f t="shared" si="0"/>
        <v>1</v>
      </c>
    </row>
    <row r="72" spans="1:6" x14ac:dyDescent="0.3">
      <c r="A72" s="199" t="s">
        <v>283</v>
      </c>
      <c r="B72" s="193" t="s">
        <v>284</v>
      </c>
      <c r="C72" s="3"/>
      <c r="D72" s="3"/>
      <c r="E72">
        <f t="shared" si="0"/>
        <v>1</v>
      </c>
    </row>
    <row r="73" spans="1:6" x14ac:dyDescent="0.3">
      <c r="A73" s="199" t="s">
        <v>287</v>
      </c>
      <c r="B73" s="193" t="s">
        <v>288</v>
      </c>
      <c r="C73" s="98"/>
      <c r="D73" s="98"/>
      <c r="E73">
        <f t="shared" si="0"/>
        <v>1</v>
      </c>
    </row>
    <row r="74" spans="1:6" x14ac:dyDescent="0.3">
      <c r="A74" s="199" t="s">
        <v>292</v>
      </c>
      <c r="B74" s="193" t="s">
        <v>293</v>
      </c>
      <c r="C74" s="3"/>
      <c r="D74" s="3"/>
      <c r="E74">
        <f t="shared" si="0"/>
        <v>1</v>
      </c>
    </row>
    <row r="75" spans="1:6" x14ac:dyDescent="0.3">
      <c r="A75" s="199" t="s">
        <v>295</v>
      </c>
      <c r="B75" s="193" t="s">
        <v>296</v>
      </c>
      <c r="C75" s="98"/>
      <c r="D75" s="98"/>
      <c r="E75">
        <f t="shared" si="0"/>
        <v>1</v>
      </c>
    </row>
    <row r="76" spans="1:6" x14ac:dyDescent="0.3">
      <c r="A76" s="199" t="s">
        <v>298</v>
      </c>
      <c r="B76" s="193" t="s">
        <v>299</v>
      </c>
      <c r="C76" s="3"/>
      <c r="D76" s="3"/>
      <c r="E76">
        <f t="shared" si="0"/>
        <v>1</v>
      </c>
    </row>
    <row r="77" spans="1:6" x14ac:dyDescent="0.3">
      <c r="A77" s="199" t="s">
        <v>302</v>
      </c>
      <c r="B77" s="193" t="s">
        <v>303</v>
      </c>
      <c r="C77" s="98"/>
      <c r="D77" s="98"/>
      <c r="E77">
        <f t="shared" si="0"/>
        <v>1</v>
      </c>
    </row>
    <row r="78" spans="1:6" x14ac:dyDescent="0.3">
      <c r="A78" s="199" t="s">
        <v>305</v>
      </c>
      <c r="B78" s="193" t="s">
        <v>306</v>
      </c>
      <c r="C78" s="3"/>
      <c r="D78" s="3"/>
      <c r="E78">
        <f t="shared" si="0"/>
        <v>1</v>
      </c>
    </row>
    <row r="79" spans="1:6" x14ac:dyDescent="0.3">
      <c r="A79" s="199" t="s">
        <v>309</v>
      </c>
      <c r="B79" s="193" t="s">
        <v>310</v>
      </c>
      <c r="C79" s="98"/>
      <c r="D79" s="98"/>
      <c r="E79">
        <f t="shared" si="0"/>
        <v>1</v>
      </c>
    </row>
    <row r="80" spans="1:6" x14ac:dyDescent="0.3">
      <c r="A80" s="199" t="s">
        <v>313</v>
      </c>
      <c r="B80" s="193" t="s">
        <v>314</v>
      </c>
      <c r="C80" s="3"/>
      <c r="D80" s="3"/>
      <c r="E80">
        <f t="shared" si="0"/>
        <v>1</v>
      </c>
    </row>
    <row r="81" spans="1:7" x14ac:dyDescent="0.3">
      <c r="A81" s="199" t="s">
        <v>689</v>
      </c>
      <c r="B81" s="193" t="s">
        <v>488</v>
      </c>
      <c r="C81" s="98"/>
      <c r="D81" s="98"/>
      <c r="E81">
        <f t="shared" si="0"/>
        <v>1</v>
      </c>
    </row>
    <row r="82" spans="1:7" x14ac:dyDescent="0.3">
      <c r="A82" s="199" t="s">
        <v>317</v>
      </c>
      <c r="B82" s="193" t="s">
        <v>318</v>
      </c>
      <c r="C82" s="98"/>
      <c r="D82" s="98"/>
      <c r="E82">
        <f t="shared" si="0"/>
        <v>1</v>
      </c>
    </row>
    <row r="83" spans="1:7" x14ac:dyDescent="0.3">
      <c r="A83" s="199" t="s">
        <v>321</v>
      </c>
      <c r="B83" s="193" t="s">
        <v>322</v>
      </c>
      <c r="C83" s="3"/>
      <c r="D83" s="3"/>
      <c r="E83">
        <f t="shared" si="0"/>
        <v>1</v>
      </c>
    </row>
    <row r="84" spans="1:7" x14ac:dyDescent="0.3">
      <c r="A84" s="199" t="s">
        <v>326</v>
      </c>
      <c r="B84" s="193" t="s">
        <v>327</v>
      </c>
      <c r="C84" s="3"/>
      <c r="D84" s="3"/>
      <c r="E84">
        <f t="shared" si="0"/>
        <v>1</v>
      </c>
    </row>
    <row r="85" spans="1:7" x14ac:dyDescent="0.3">
      <c r="A85" s="199" t="s">
        <v>329</v>
      </c>
      <c r="B85" s="193" t="s">
        <v>330</v>
      </c>
      <c r="C85" s="98"/>
      <c r="D85" s="98"/>
      <c r="E85">
        <f t="shared" si="0"/>
        <v>1</v>
      </c>
    </row>
    <row r="86" spans="1:7" x14ac:dyDescent="0.3">
      <c r="A86" s="199" t="s">
        <v>332</v>
      </c>
      <c r="B86" s="193" t="s">
        <v>333</v>
      </c>
      <c r="C86" s="3"/>
      <c r="D86" s="3"/>
      <c r="E86">
        <f t="shared" si="0"/>
        <v>1</v>
      </c>
    </row>
    <row r="87" spans="1:7" x14ac:dyDescent="0.3">
      <c r="A87" s="199" t="s">
        <v>701</v>
      </c>
      <c r="B87" s="193" t="s">
        <v>492</v>
      </c>
      <c r="C87" s="98"/>
      <c r="D87" s="98"/>
      <c r="E87">
        <f t="shared" si="0"/>
        <v>1</v>
      </c>
    </row>
    <row r="88" spans="1:7" x14ac:dyDescent="0.3">
      <c r="A88" s="199" t="s">
        <v>336</v>
      </c>
      <c r="B88" s="193" t="s">
        <v>337</v>
      </c>
      <c r="C88" s="98"/>
      <c r="D88" s="98"/>
      <c r="E88">
        <f t="shared" si="0"/>
        <v>1</v>
      </c>
    </row>
    <row r="89" spans="1:7" x14ac:dyDescent="0.3">
      <c r="A89" s="199" t="s">
        <v>338</v>
      </c>
      <c r="B89" s="193" t="s">
        <v>339</v>
      </c>
      <c r="C89" s="3"/>
      <c r="D89" s="3"/>
      <c r="E89">
        <f t="shared" si="0"/>
        <v>1</v>
      </c>
    </row>
    <row r="90" spans="1:7" ht="15" thickBot="1" x14ac:dyDescent="0.35">
      <c r="A90" s="199" t="s">
        <v>340</v>
      </c>
      <c r="B90" s="193" t="s">
        <v>341</v>
      </c>
      <c r="C90" s="98"/>
      <c r="D90" s="98"/>
      <c r="E90">
        <f t="shared" si="0"/>
        <v>1</v>
      </c>
    </row>
    <row r="91" spans="1:7" ht="15" thickBot="1" x14ac:dyDescent="0.35">
      <c r="A91" s="199" t="s">
        <v>342</v>
      </c>
      <c r="B91" s="193" t="s">
        <v>343</v>
      </c>
      <c r="C91" s="3"/>
      <c r="D91" s="3"/>
      <c r="E91">
        <f t="shared" si="0"/>
        <v>1</v>
      </c>
      <c r="F91" s="99" t="s">
        <v>344</v>
      </c>
      <c r="G91" s="160">
        <f>MAX(G66:G88)</f>
        <v>0</v>
      </c>
    </row>
    <row r="92" spans="1:7" x14ac:dyDescent="0.3">
      <c r="A92" s="199" t="s">
        <v>345</v>
      </c>
      <c r="B92" s="193" t="s">
        <v>346</v>
      </c>
      <c r="C92" s="98"/>
      <c r="D92" s="98"/>
      <c r="E92">
        <f t="shared" si="0"/>
        <v>1</v>
      </c>
    </row>
    <row r="93" spans="1:7" x14ac:dyDescent="0.3">
      <c r="A93" s="199" t="s">
        <v>347</v>
      </c>
      <c r="B93" s="193" t="s">
        <v>348</v>
      </c>
      <c r="C93" s="3"/>
      <c r="D93" s="3"/>
      <c r="E93">
        <f t="shared" si="0"/>
        <v>1</v>
      </c>
    </row>
    <row r="94" spans="1:7" x14ac:dyDescent="0.3">
      <c r="A94" s="199" t="s">
        <v>349</v>
      </c>
      <c r="B94" s="193" t="s">
        <v>350</v>
      </c>
      <c r="C94" s="98"/>
      <c r="D94" s="98"/>
      <c r="E94">
        <f t="shared" si="0"/>
        <v>1</v>
      </c>
    </row>
    <row r="95" spans="1:7" x14ac:dyDescent="0.3">
      <c r="A95" s="199" t="s">
        <v>351</v>
      </c>
      <c r="B95" s="193" t="s">
        <v>352</v>
      </c>
      <c r="C95" s="3"/>
      <c r="D95" s="3"/>
      <c r="E95">
        <f t="shared" si="0"/>
        <v>1</v>
      </c>
    </row>
    <row r="96" spans="1:7" x14ac:dyDescent="0.3">
      <c r="A96" s="199" t="s">
        <v>353</v>
      </c>
      <c r="B96" s="193" t="s">
        <v>354</v>
      </c>
      <c r="C96" s="98"/>
      <c r="D96" s="98"/>
      <c r="E96">
        <f t="shared" si="0"/>
        <v>1</v>
      </c>
    </row>
    <row r="97" spans="1:5" x14ac:dyDescent="0.3">
      <c r="A97" s="199" t="s">
        <v>355</v>
      </c>
      <c r="B97" s="193" t="s">
        <v>356</v>
      </c>
      <c r="C97" s="3"/>
      <c r="D97" s="3"/>
      <c r="E97">
        <f t="shared" si="0"/>
        <v>1</v>
      </c>
    </row>
    <row r="98" spans="1:5" x14ac:dyDescent="0.3">
      <c r="A98" s="199" t="s">
        <v>358</v>
      </c>
      <c r="B98" s="193" t="s">
        <v>359</v>
      </c>
      <c r="C98" s="98"/>
      <c r="D98" s="98"/>
      <c r="E98">
        <f t="shared" si="0"/>
        <v>1</v>
      </c>
    </row>
    <row r="99" spans="1:5" x14ac:dyDescent="0.3">
      <c r="A99" s="199" t="s">
        <v>361</v>
      </c>
      <c r="B99" s="193" t="s">
        <v>362</v>
      </c>
      <c r="C99" s="3"/>
      <c r="D99" s="3"/>
      <c r="E99">
        <f t="shared" si="0"/>
        <v>1</v>
      </c>
    </row>
    <row r="100" spans="1:5" x14ac:dyDescent="0.3">
      <c r="A100" s="199" t="s">
        <v>363</v>
      </c>
      <c r="B100" s="193" t="s">
        <v>364</v>
      </c>
      <c r="C100" s="98"/>
      <c r="D100" s="98"/>
      <c r="E100">
        <f t="shared" si="0"/>
        <v>1</v>
      </c>
    </row>
    <row r="101" spans="1:5" x14ac:dyDescent="0.3">
      <c r="A101" s="199" t="s">
        <v>366</v>
      </c>
      <c r="B101" s="193" t="s">
        <v>367</v>
      </c>
      <c r="C101" s="3"/>
      <c r="D101" s="3"/>
      <c r="E101">
        <f t="shared" si="0"/>
        <v>1</v>
      </c>
    </row>
    <row r="102" spans="1:5" x14ac:dyDescent="0.3">
      <c r="A102" s="199" t="s">
        <v>368</v>
      </c>
      <c r="B102" s="193" t="s">
        <v>369</v>
      </c>
      <c r="C102" s="98"/>
      <c r="D102" s="98"/>
      <c r="E102">
        <f t="shared" si="0"/>
        <v>1</v>
      </c>
    </row>
    <row r="103" spans="1:5" x14ac:dyDescent="0.3">
      <c r="A103" s="199" t="s">
        <v>687</v>
      </c>
      <c r="B103" s="193" t="s">
        <v>494</v>
      </c>
      <c r="C103" s="3"/>
      <c r="D103" s="3"/>
      <c r="E103">
        <f t="shared" si="0"/>
        <v>1</v>
      </c>
    </row>
    <row r="104" spans="1:5" x14ac:dyDescent="0.3">
      <c r="A104" s="199" t="s">
        <v>704</v>
      </c>
      <c r="B104" s="193" t="s">
        <v>372</v>
      </c>
      <c r="C104" s="3"/>
      <c r="D104" s="3"/>
      <c r="E104">
        <f t="shared" si="0"/>
        <v>1</v>
      </c>
    </row>
    <row r="105" spans="1:5" x14ac:dyDescent="0.3">
      <c r="A105" s="199" t="s">
        <v>373</v>
      </c>
      <c r="B105" s="193" t="s">
        <v>374</v>
      </c>
      <c r="C105" s="98"/>
      <c r="D105" s="98"/>
      <c r="E105">
        <f t="shared" si="0"/>
        <v>1</v>
      </c>
    </row>
    <row r="106" spans="1:5" x14ac:dyDescent="0.3">
      <c r="A106" s="199" t="s">
        <v>375</v>
      </c>
      <c r="B106" s="193" t="s">
        <v>376</v>
      </c>
      <c r="C106" s="3"/>
      <c r="D106" s="3"/>
      <c r="E106">
        <f t="shared" si="0"/>
        <v>1</v>
      </c>
    </row>
    <row r="107" spans="1:5" x14ac:dyDescent="0.3">
      <c r="A107" s="199" t="s">
        <v>377</v>
      </c>
      <c r="B107" s="193" t="s">
        <v>378</v>
      </c>
      <c r="C107" s="98"/>
      <c r="D107" s="98"/>
      <c r="E107">
        <f t="shared" si="0"/>
        <v>1</v>
      </c>
    </row>
    <row r="108" spans="1:5" x14ac:dyDescent="0.3">
      <c r="A108" s="199" t="s">
        <v>379</v>
      </c>
      <c r="B108" s="193" t="s">
        <v>380</v>
      </c>
      <c r="C108" s="3"/>
      <c r="D108" s="3"/>
      <c r="E108">
        <f t="shared" si="0"/>
        <v>1</v>
      </c>
    </row>
    <row r="109" spans="1:5" x14ac:dyDescent="0.3">
      <c r="A109" s="199" t="s">
        <v>381</v>
      </c>
      <c r="B109" s="193" t="s">
        <v>382</v>
      </c>
      <c r="C109" s="98"/>
      <c r="D109" s="98"/>
      <c r="E109">
        <f t="shared" si="0"/>
        <v>1</v>
      </c>
    </row>
    <row r="110" spans="1:5" x14ac:dyDescent="0.3">
      <c r="A110" s="199" t="s">
        <v>383</v>
      </c>
      <c r="B110" s="193" t="s">
        <v>384</v>
      </c>
      <c r="C110" s="3"/>
      <c r="D110" s="3"/>
      <c r="E110">
        <f t="shared" si="0"/>
        <v>1</v>
      </c>
    </row>
    <row r="111" spans="1:5" x14ac:dyDescent="0.3">
      <c r="A111" s="199" t="s">
        <v>385</v>
      </c>
      <c r="B111" s="193" t="s">
        <v>386</v>
      </c>
      <c r="C111" s="98"/>
      <c r="D111" s="98"/>
      <c r="E111">
        <f t="shared" si="0"/>
        <v>1</v>
      </c>
    </row>
    <row r="112" spans="1:5" x14ac:dyDescent="0.3">
      <c r="A112" s="199" t="s">
        <v>387</v>
      </c>
      <c r="B112" s="193" t="s">
        <v>388</v>
      </c>
      <c r="C112" s="3"/>
      <c r="D112" s="3"/>
      <c r="E112">
        <f t="shared" si="0"/>
        <v>1</v>
      </c>
    </row>
    <row r="113" spans="1:5" x14ac:dyDescent="0.3">
      <c r="A113" s="199" t="s">
        <v>389</v>
      </c>
      <c r="B113" s="193" t="s">
        <v>390</v>
      </c>
      <c r="C113" s="98"/>
      <c r="D113" s="98"/>
      <c r="E113">
        <f t="shared" si="0"/>
        <v>1</v>
      </c>
    </row>
    <row r="114" spans="1:5" x14ac:dyDescent="0.3">
      <c r="A114" s="199" t="s">
        <v>391</v>
      </c>
      <c r="B114" s="193" t="s">
        <v>392</v>
      </c>
      <c r="C114" s="3"/>
      <c r="D114" s="3"/>
      <c r="E114">
        <f t="shared" si="0"/>
        <v>1</v>
      </c>
    </row>
    <row r="115" spans="1:5" x14ac:dyDescent="0.3">
      <c r="A115" s="199" t="s">
        <v>395</v>
      </c>
      <c r="B115" s="193" t="s">
        <v>396</v>
      </c>
      <c r="C115" s="3"/>
      <c r="D115" s="3"/>
      <c r="E115">
        <f t="shared" si="0"/>
        <v>1</v>
      </c>
    </row>
    <row r="116" spans="1:5" x14ac:dyDescent="0.3">
      <c r="A116" s="199" t="s">
        <v>686</v>
      </c>
      <c r="B116" s="193" t="s">
        <v>398</v>
      </c>
      <c r="C116" s="98"/>
      <c r="D116" s="98"/>
      <c r="E116">
        <f t="shared" si="0"/>
        <v>1</v>
      </c>
    </row>
    <row r="117" spans="1:5" x14ac:dyDescent="0.3">
      <c r="A117" s="199" t="s">
        <v>399</v>
      </c>
      <c r="B117" s="193" t="s">
        <v>400</v>
      </c>
      <c r="C117" s="3"/>
      <c r="D117" s="3"/>
      <c r="E117">
        <f t="shared" si="0"/>
        <v>1</v>
      </c>
    </row>
    <row r="118" spans="1:5" x14ac:dyDescent="0.3">
      <c r="A118" s="199" t="s">
        <v>401</v>
      </c>
      <c r="B118" s="193" t="s">
        <v>402</v>
      </c>
      <c r="C118" s="98"/>
      <c r="D118" s="98"/>
      <c r="E118">
        <f t="shared" si="0"/>
        <v>1</v>
      </c>
    </row>
    <row r="119" spans="1:5" x14ac:dyDescent="0.3">
      <c r="A119" s="199" t="s">
        <v>403</v>
      </c>
      <c r="B119" s="193" t="s">
        <v>404</v>
      </c>
      <c r="C119" s="3"/>
      <c r="D119" s="3"/>
      <c r="E119">
        <f t="shared" si="0"/>
        <v>1</v>
      </c>
    </row>
    <row r="120" spans="1:5" x14ac:dyDescent="0.3">
      <c r="A120" s="199" t="s">
        <v>688</v>
      </c>
      <c r="B120" s="193" t="s">
        <v>480</v>
      </c>
      <c r="C120" s="3"/>
      <c r="D120" s="3"/>
      <c r="E120">
        <f t="shared" si="0"/>
        <v>1</v>
      </c>
    </row>
    <row r="121" spans="1:5" x14ac:dyDescent="0.3">
      <c r="A121" s="199" t="s">
        <v>405</v>
      </c>
      <c r="B121" s="193" t="s">
        <v>406</v>
      </c>
      <c r="C121" s="98"/>
      <c r="D121" s="98"/>
      <c r="E121">
        <f t="shared" si="0"/>
        <v>1</v>
      </c>
    </row>
    <row r="122" spans="1:5" x14ac:dyDescent="0.3">
      <c r="A122" s="199" t="s">
        <v>407</v>
      </c>
      <c r="B122" s="193" t="s">
        <v>408</v>
      </c>
      <c r="C122" s="3"/>
      <c r="D122" s="3"/>
      <c r="E122">
        <f t="shared" si="0"/>
        <v>1</v>
      </c>
    </row>
    <row r="123" spans="1:5" x14ac:dyDescent="0.3">
      <c r="A123" s="199" t="s">
        <v>707</v>
      </c>
      <c r="B123" s="193" t="s">
        <v>410</v>
      </c>
      <c r="C123" s="98"/>
      <c r="D123" s="98"/>
      <c r="E123">
        <f t="shared" si="0"/>
        <v>1</v>
      </c>
    </row>
    <row r="124" spans="1:5" x14ac:dyDescent="0.3">
      <c r="A124" s="199" t="s">
        <v>411</v>
      </c>
      <c r="B124" s="193" t="s">
        <v>412</v>
      </c>
      <c r="C124" s="3"/>
      <c r="D124" s="3"/>
      <c r="E124">
        <f t="shared" si="0"/>
        <v>1</v>
      </c>
    </row>
    <row r="125" spans="1:5" x14ac:dyDescent="0.3">
      <c r="A125" s="199" t="s">
        <v>705</v>
      </c>
      <c r="B125" s="193" t="s">
        <v>496</v>
      </c>
      <c r="C125" s="98"/>
      <c r="D125" s="98"/>
      <c r="E125">
        <f t="shared" si="0"/>
        <v>1</v>
      </c>
    </row>
    <row r="126" spans="1:5" x14ac:dyDescent="0.3">
      <c r="A126" s="199" t="s">
        <v>413</v>
      </c>
      <c r="B126" s="193" t="s">
        <v>414</v>
      </c>
      <c r="C126" s="98"/>
      <c r="D126" s="98"/>
      <c r="E126">
        <f t="shared" si="0"/>
        <v>1</v>
      </c>
    </row>
    <row r="127" spans="1:5" x14ac:dyDescent="0.3">
      <c r="A127" s="199" t="s">
        <v>415</v>
      </c>
      <c r="B127" s="193" t="s">
        <v>416</v>
      </c>
      <c r="C127" s="3"/>
      <c r="D127" s="3"/>
      <c r="E127">
        <f t="shared" si="0"/>
        <v>1</v>
      </c>
    </row>
    <row r="128" spans="1:5" x14ac:dyDescent="0.3">
      <c r="A128" s="199" t="s">
        <v>417</v>
      </c>
      <c r="B128" s="193" t="s">
        <v>418</v>
      </c>
      <c r="C128" s="98"/>
      <c r="D128" s="98"/>
      <c r="E128">
        <f t="shared" si="0"/>
        <v>1</v>
      </c>
    </row>
    <row r="129" spans="1:5" x14ac:dyDescent="0.3">
      <c r="A129" s="199" t="s">
        <v>419</v>
      </c>
      <c r="B129" s="193" t="s">
        <v>420</v>
      </c>
      <c r="C129" s="3"/>
      <c r="D129" s="3"/>
      <c r="E129">
        <f t="shared" ref="E129:E186" si="1">IF(A129=B129,0,1)</f>
        <v>1</v>
      </c>
    </row>
    <row r="130" spans="1:5" x14ac:dyDescent="0.3">
      <c r="A130" s="199" t="s">
        <v>422</v>
      </c>
      <c r="B130" s="193" t="s">
        <v>423</v>
      </c>
      <c r="C130" s="98"/>
      <c r="D130" s="98"/>
      <c r="E130">
        <f t="shared" si="1"/>
        <v>1</v>
      </c>
    </row>
    <row r="131" spans="1:5" x14ac:dyDescent="0.3">
      <c r="A131" s="199" t="s">
        <v>424</v>
      </c>
      <c r="B131" s="193" t="s">
        <v>425</v>
      </c>
      <c r="C131" s="3"/>
      <c r="D131" s="3"/>
      <c r="E131">
        <f t="shared" si="1"/>
        <v>1</v>
      </c>
    </row>
    <row r="132" spans="1:5" x14ac:dyDescent="0.3">
      <c r="A132" s="199" t="s">
        <v>426</v>
      </c>
      <c r="B132" s="193" t="s">
        <v>427</v>
      </c>
      <c r="C132" s="98"/>
      <c r="D132" s="98"/>
      <c r="E132">
        <f t="shared" si="1"/>
        <v>1</v>
      </c>
    </row>
    <row r="133" spans="1:5" x14ac:dyDescent="0.3">
      <c r="A133" s="199" t="s">
        <v>700</v>
      </c>
      <c r="B133" s="193" t="s">
        <v>456</v>
      </c>
      <c r="C133" s="98"/>
      <c r="D133" s="98"/>
      <c r="E133">
        <f t="shared" si="1"/>
        <v>1</v>
      </c>
    </row>
    <row r="134" spans="1:5" x14ac:dyDescent="0.3">
      <c r="A134" s="199" t="s">
        <v>428</v>
      </c>
      <c r="B134" s="193" t="s">
        <v>429</v>
      </c>
      <c r="C134" s="3"/>
      <c r="D134" s="3"/>
      <c r="E134">
        <f t="shared" si="1"/>
        <v>1</v>
      </c>
    </row>
    <row r="135" spans="1:5" x14ac:dyDescent="0.3">
      <c r="A135" s="199" t="s">
        <v>430</v>
      </c>
      <c r="B135" s="193" t="s">
        <v>431</v>
      </c>
      <c r="C135" s="98"/>
      <c r="D135" s="98"/>
      <c r="E135">
        <f t="shared" si="1"/>
        <v>1</v>
      </c>
    </row>
    <row r="136" spans="1:5" x14ac:dyDescent="0.3">
      <c r="A136" s="199" t="s">
        <v>432</v>
      </c>
      <c r="B136" s="193" t="s">
        <v>433</v>
      </c>
      <c r="C136" s="3"/>
      <c r="D136" s="3"/>
      <c r="E136">
        <f t="shared" si="1"/>
        <v>1</v>
      </c>
    </row>
    <row r="137" spans="1:5" x14ac:dyDescent="0.3">
      <c r="A137" s="199" t="s">
        <v>434</v>
      </c>
      <c r="B137" s="193" t="s">
        <v>435</v>
      </c>
      <c r="C137" s="98"/>
      <c r="D137" s="98"/>
      <c r="E137">
        <f t="shared" si="1"/>
        <v>1</v>
      </c>
    </row>
    <row r="138" spans="1:5" x14ac:dyDescent="0.3">
      <c r="A138" s="199" t="s">
        <v>695</v>
      </c>
      <c r="B138" s="193" t="s">
        <v>442</v>
      </c>
      <c r="C138" s="3"/>
      <c r="D138" s="3"/>
      <c r="E138">
        <f t="shared" si="1"/>
        <v>1</v>
      </c>
    </row>
    <row r="139" spans="1:5" x14ac:dyDescent="0.3">
      <c r="A139" s="199" t="s">
        <v>703</v>
      </c>
      <c r="B139" s="193" t="s">
        <v>498</v>
      </c>
      <c r="C139" s="3"/>
      <c r="D139" s="3"/>
      <c r="E139">
        <f t="shared" si="1"/>
        <v>1</v>
      </c>
    </row>
    <row r="140" spans="1:5" x14ac:dyDescent="0.3">
      <c r="A140" s="199" t="s">
        <v>691</v>
      </c>
      <c r="B140" s="193" t="s">
        <v>500</v>
      </c>
      <c r="C140" s="98"/>
      <c r="D140" s="98"/>
      <c r="E140">
        <f t="shared" si="1"/>
        <v>1</v>
      </c>
    </row>
    <row r="141" spans="1:5" x14ac:dyDescent="0.3">
      <c r="A141" s="199" t="s">
        <v>693</v>
      </c>
      <c r="B141" s="193" t="s">
        <v>502</v>
      </c>
      <c r="C141" s="3"/>
      <c r="D141" s="3"/>
      <c r="E141">
        <f t="shared" si="1"/>
        <v>1</v>
      </c>
    </row>
    <row r="142" spans="1:5" x14ac:dyDescent="0.3">
      <c r="A142" s="199" t="s">
        <v>443</v>
      </c>
      <c r="B142" s="193" t="s">
        <v>444</v>
      </c>
      <c r="C142" s="98"/>
      <c r="D142" s="98"/>
      <c r="E142">
        <f t="shared" si="1"/>
        <v>1</v>
      </c>
    </row>
    <row r="143" spans="1:5" x14ac:dyDescent="0.3">
      <c r="A143" s="199" t="s">
        <v>445</v>
      </c>
      <c r="B143" s="193" t="s">
        <v>446</v>
      </c>
      <c r="C143" s="3"/>
      <c r="D143" s="3"/>
      <c r="E143">
        <f t="shared" si="1"/>
        <v>1</v>
      </c>
    </row>
    <row r="144" spans="1:5" x14ac:dyDescent="0.3">
      <c r="A144" s="199" t="s">
        <v>694</v>
      </c>
      <c r="B144" s="193" t="s">
        <v>448</v>
      </c>
      <c r="C144" s="98"/>
      <c r="D144" s="98"/>
      <c r="E144">
        <f t="shared" si="1"/>
        <v>1</v>
      </c>
    </row>
    <row r="145" spans="1:5" x14ac:dyDescent="0.3">
      <c r="A145" s="199" t="s">
        <v>449</v>
      </c>
      <c r="B145" s="193" t="s">
        <v>450</v>
      </c>
      <c r="C145" s="3"/>
      <c r="D145" s="3"/>
      <c r="E145">
        <f t="shared" si="1"/>
        <v>1</v>
      </c>
    </row>
    <row r="146" spans="1:5" x14ac:dyDescent="0.3">
      <c r="A146" s="199" t="s">
        <v>702</v>
      </c>
      <c r="B146" s="193" t="s">
        <v>504</v>
      </c>
      <c r="C146" s="98"/>
      <c r="D146" s="98"/>
      <c r="E146">
        <f t="shared" si="1"/>
        <v>1</v>
      </c>
    </row>
    <row r="147" spans="1:5" x14ac:dyDescent="0.3">
      <c r="A147" s="199" t="s">
        <v>451</v>
      </c>
      <c r="B147" s="193" t="s">
        <v>452</v>
      </c>
      <c r="C147" s="98"/>
      <c r="D147" s="98"/>
      <c r="E147">
        <f t="shared" si="1"/>
        <v>1</v>
      </c>
    </row>
    <row r="148" spans="1:5" x14ac:dyDescent="0.3">
      <c r="A148" s="199" t="s">
        <v>692</v>
      </c>
      <c r="B148" s="193" t="s">
        <v>454</v>
      </c>
      <c r="C148" s="3"/>
      <c r="D148" s="3"/>
      <c r="E148">
        <f t="shared" si="1"/>
        <v>1</v>
      </c>
    </row>
    <row r="149" spans="1:5" x14ac:dyDescent="0.3">
      <c r="A149" s="199" t="s">
        <v>699</v>
      </c>
      <c r="B149" s="193" t="s">
        <v>506</v>
      </c>
      <c r="C149" s="3"/>
      <c r="D149" s="3"/>
      <c r="E149">
        <f t="shared" si="1"/>
        <v>1</v>
      </c>
    </row>
    <row r="150" spans="1:5" x14ac:dyDescent="0.3">
      <c r="A150" s="199" t="s">
        <v>457</v>
      </c>
      <c r="B150" s="193" t="s">
        <v>458</v>
      </c>
      <c r="C150" s="98"/>
      <c r="D150" s="98"/>
      <c r="E150">
        <f t="shared" si="1"/>
        <v>1</v>
      </c>
    </row>
    <row r="151" spans="1:5" x14ac:dyDescent="0.3">
      <c r="A151" s="199" t="s">
        <v>459</v>
      </c>
      <c r="B151" s="193" t="s">
        <v>460</v>
      </c>
      <c r="C151" s="3"/>
      <c r="D151" s="3"/>
      <c r="E151">
        <f t="shared" si="1"/>
        <v>1</v>
      </c>
    </row>
    <row r="152" spans="1:5" x14ac:dyDescent="0.3">
      <c r="A152" s="199" t="s">
        <v>461</v>
      </c>
      <c r="B152" s="193" t="s">
        <v>462</v>
      </c>
      <c r="C152" s="98"/>
      <c r="D152" s="98"/>
      <c r="E152">
        <f t="shared" si="1"/>
        <v>1</v>
      </c>
    </row>
    <row r="153" spans="1:5" x14ac:dyDescent="0.3">
      <c r="A153" s="199" t="s">
        <v>463</v>
      </c>
      <c r="B153" s="193" t="s">
        <v>464</v>
      </c>
      <c r="C153" s="3"/>
      <c r="D153" s="3"/>
      <c r="E153">
        <f t="shared" si="1"/>
        <v>1</v>
      </c>
    </row>
    <row r="154" spans="1:5" x14ac:dyDescent="0.3">
      <c r="A154" s="199" t="s">
        <v>465</v>
      </c>
      <c r="B154" s="193" t="s">
        <v>466</v>
      </c>
      <c r="C154" s="98"/>
      <c r="D154" s="98"/>
      <c r="E154">
        <f t="shared" si="1"/>
        <v>1</v>
      </c>
    </row>
    <row r="155" spans="1:5" x14ac:dyDescent="0.3">
      <c r="A155" s="199" t="s">
        <v>467</v>
      </c>
      <c r="B155" s="193" t="s">
        <v>468</v>
      </c>
      <c r="C155" s="3"/>
      <c r="D155" s="3"/>
      <c r="E155">
        <f t="shared" si="1"/>
        <v>1</v>
      </c>
    </row>
    <row r="156" spans="1:5" x14ac:dyDescent="0.3">
      <c r="A156" s="199" t="s">
        <v>469</v>
      </c>
      <c r="B156" s="193" t="s">
        <v>470</v>
      </c>
      <c r="C156" s="98"/>
      <c r="D156" s="98"/>
      <c r="E156">
        <f t="shared" si="1"/>
        <v>1</v>
      </c>
    </row>
    <row r="157" spans="1:5" x14ac:dyDescent="0.3">
      <c r="A157" s="199" t="s">
        <v>471</v>
      </c>
      <c r="B157" s="193" t="s">
        <v>472</v>
      </c>
      <c r="C157" s="3"/>
      <c r="D157" s="3"/>
      <c r="E157">
        <f t="shared" si="1"/>
        <v>1</v>
      </c>
    </row>
    <row r="158" spans="1:5" x14ac:dyDescent="0.3">
      <c r="A158" s="199" t="s">
        <v>696</v>
      </c>
      <c r="B158" s="193" t="s">
        <v>474</v>
      </c>
      <c r="C158" s="3"/>
      <c r="D158" s="3"/>
      <c r="E158">
        <f t="shared" si="1"/>
        <v>1</v>
      </c>
    </row>
    <row r="159" spans="1:5" x14ac:dyDescent="0.3">
      <c r="A159" s="199" t="s">
        <v>477</v>
      </c>
      <c r="B159" s="193" t="s">
        <v>478</v>
      </c>
      <c r="C159" s="3"/>
      <c r="D159" s="3"/>
      <c r="E159">
        <f t="shared" si="1"/>
        <v>1</v>
      </c>
    </row>
    <row r="160" spans="1:5" x14ac:dyDescent="0.3">
      <c r="A160" s="199" t="s">
        <v>481</v>
      </c>
      <c r="B160" s="193" t="s">
        <v>482</v>
      </c>
      <c r="C160" s="98"/>
      <c r="D160" s="98"/>
      <c r="E160">
        <f t="shared" si="1"/>
        <v>1</v>
      </c>
    </row>
    <row r="161" spans="1:5" x14ac:dyDescent="0.3">
      <c r="A161" s="199" t="s">
        <v>483</v>
      </c>
      <c r="B161" s="193" t="s">
        <v>484</v>
      </c>
      <c r="C161" s="3"/>
      <c r="D161" s="3"/>
      <c r="E161">
        <f t="shared" si="1"/>
        <v>1</v>
      </c>
    </row>
    <row r="162" spans="1:5" x14ac:dyDescent="0.3">
      <c r="A162" s="199" t="s">
        <v>485</v>
      </c>
      <c r="B162" s="193" t="s">
        <v>486</v>
      </c>
      <c r="C162" s="3"/>
      <c r="D162" s="3"/>
      <c r="E162">
        <f t="shared" si="1"/>
        <v>1</v>
      </c>
    </row>
    <row r="163" spans="1:5" x14ac:dyDescent="0.3">
      <c r="A163" s="199" t="s">
        <v>509</v>
      </c>
      <c r="B163" s="193" t="s">
        <v>510</v>
      </c>
      <c r="C163" s="98"/>
      <c r="D163" s="98"/>
      <c r="E163">
        <f t="shared" si="1"/>
        <v>1</v>
      </c>
    </row>
    <row r="164" spans="1:5" x14ac:dyDescent="0.3">
      <c r="A164" s="199" t="s">
        <v>511</v>
      </c>
      <c r="B164" s="193" t="s">
        <v>512</v>
      </c>
      <c r="C164" s="3"/>
      <c r="D164" s="3"/>
      <c r="E164">
        <f t="shared" si="1"/>
        <v>1</v>
      </c>
    </row>
    <row r="165" spans="1:5" x14ac:dyDescent="0.3">
      <c r="A165" s="199" t="s">
        <v>513</v>
      </c>
      <c r="B165" s="193" t="s">
        <v>514</v>
      </c>
      <c r="C165" s="98"/>
      <c r="D165" s="98"/>
      <c r="E165">
        <f t="shared" si="1"/>
        <v>1</v>
      </c>
    </row>
    <row r="166" spans="1:5" x14ac:dyDescent="0.3">
      <c r="A166" s="199" t="s">
        <v>515</v>
      </c>
      <c r="B166" s="193" t="s">
        <v>516</v>
      </c>
      <c r="C166" s="3"/>
      <c r="D166" s="3"/>
      <c r="E166">
        <f t="shared" si="1"/>
        <v>1</v>
      </c>
    </row>
    <row r="167" spans="1:5" x14ac:dyDescent="0.3">
      <c r="A167" s="199" t="s">
        <v>517</v>
      </c>
      <c r="B167" s="193" t="s">
        <v>518</v>
      </c>
      <c r="C167" s="98"/>
      <c r="D167" s="98"/>
      <c r="E167">
        <f t="shared" si="1"/>
        <v>1</v>
      </c>
    </row>
    <row r="168" spans="1:5" x14ac:dyDescent="0.3">
      <c r="A168" s="199" t="s">
        <v>519</v>
      </c>
      <c r="B168" s="193" t="s">
        <v>520</v>
      </c>
      <c r="C168" s="3"/>
      <c r="D168" s="3"/>
      <c r="E168">
        <f t="shared" si="1"/>
        <v>1</v>
      </c>
    </row>
    <row r="169" spans="1:5" x14ac:dyDescent="0.3">
      <c r="A169" s="199" t="s">
        <v>521</v>
      </c>
      <c r="B169" s="193" t="s">
        <v>522</v>
      </c>
      <c r="C169" s="98"/>
      <c r="D169" s="98"/>
      <c r="E169">
        <f t="shared" si="1"/>
        <v>1</v>
      </c>
    </row>
    <row r="170" spans="1:5" x14ac:dyDescent="0.3">
      <c r="A170" s="199" t="s">
        <v>523</v>
      </c>
      <c r="B170" s="193" t="s">
        <v>524</v>
      </c>
      <c r="C170" s="3"/>
      <c r="D170" s="3"/>
      <c r="E170">
        <f t="shared" si="1"/>
        <v>1</v>
      </c>
    </row>
    <row r="171" spans="1:5" x14ac:dyDescent="0.3">
      <c r="A171" s="199" t="s">
        <v>525</v>
      </c>
      <c r="B171" s="193" t="s">
        <v>526</v>
      </c>
      <c r="C171" s="98"/>
      <c r="D171" s="98"/>
      <c r="E171">
        <f t="shared" si="1"/>
        <v>1</v>
      </c>
    </row>
    <row r="172" spans="1:5" x14ac:dyDescent="0.3">
      <c r="A172" s="199" t="s">
        <v>527</v>
      </c>
      <c r="B172" s="193" t="s">
        <v>528</v>
      </c>
      <c r="C172" s="3"/>
      <c r="D172" s="3"/>
      <c r="E172">
        <f t="shared" si="1"/>
        <v>1</v>
      </c>
    </row>
    <row r="173" spans="1:5" x14ac:dyDescent="0.3">
      <c r="A173" s="199" t="s">
        <v>529</v>
      </c>
      <c r="B173" s="193" t="s">
        <v>530</v>
      </c>
      <c r="C173" s="98"/>
      <c r="D173" s="98"/>
      <c r="E173">
        <f t="shared" si="1"/>
        <v>1</v>
      </c>
    </row>
    <row r="174" spans="1:5" x14ac:dyDescent="0.3">
      <c r="A174" s="199" t="s">
        <v>531</v>
      </c>
      <c r="B174" s="193" t="s">
        <v>532</v>
      </c>
      <c r="C174" s="98"/>
      <c r="D174" s="98"/>
      <c r="E174">
        <f t="shared" si="1"/>
        <v>1</v>
      </c>
    </row>
    <row r="175" spans="1:5" x14ac:dyDescent="0.3">
      <c r="A175" s="199" t="s">
        <v>697</v>
      </c>
      <c r="B175" s="193" t="s">
        <v>439</v>
      </c>
      <c r="C175" s="3"/>
      <c r="D175" s="3"/>
      <c r="E175">
        <f t="shared" si="1"/>
        <v>1</v>
      </c>
    </row>
    <row r="176" spans="1:5" x14ac:dyDescent="0.3">
      <c r="A176" s="199" t="s">
        <v>533</v>
      </c>
      <c r="B176" s="193" t="s">
        <v>534</v>
      </c>
      <c r="C176" s="98"/>
      <c r="D176" s="98"/>
      <c r="E176">
        <f t="shared" si="1"/>
        <v>1</v>
      </c>
    </row>
    <row r="177" spans="1:5" x14ac:dyDescent="0.3">
      <c r="A177" s="199" t="s">
        <v>535</v>
      </c>
      <c r="B177" s="193" t="s">
        <v>536</v>
      </c>
      <c r="C177" s="3"/>
      <c r="D177" s="3"/>
      <c r="E177">
        <f t="shared" si="1"/>
        <v>1</v>
      </c>
    </row>
    <row r="178" spans="1:5" x14ac:dyDescent="0.3">
      <c r="A178" s="199" t="s">
        <v>537</v>
      </c>
      <c r="B178" s="193" t="s">
        <v>538</v>
      </c>
      <c r="C178" s="98"/>
      <c r="D178" s="98"/>
      <c r="E178">
        <f t="shared" si="1"/>
        <v>1</v>
      </c>
    </row>
    <row r="179" spans="1:5" x14ac:dyDescent="0.3">
      <c r="A179" s="199" t="s">
        <v>706</v>
      </c>
      <c r="B179" s="193" t="s">
        <v>540</v>
      </c>
      <c r="C179" s="3"/>
      <c r="D179" s="3"/>
      <c r="E179">
        <f t="shared" si="1"/>
        <v>1</v>
      </c>
    </row>
    <row r="180" spans="1:5" x14ac:dyDescent="0.3">
      <c r="A180" s="199" t="s">
        <v>541</v>
      </c>
      <c r="B180" s="193" t="s">
        <v>542</v>
      </c>
      <c r="C180" s="98"/>
      <c r="D180" s="98"/>
      <c r="E180">
        <f t="shared" si="1"/>
        <v>1</v>
      </c>
    </row>
    <row r="181" spans="1:5" x14ac:dyDescent="0.3">
      <c r="A181" s="199" t="s">
        <v>698</v>
      </c>
      <c r="B181" s="193" t="s">
        <v>508</v>
      </c>
      <c r="C181" s="3"/>
      <c r="D181" s="3"/>
      <c r="E181">
        <f t="shared" si="1"/>
        <v>1</v>
      </c>
    </row>
    <row r="182" spans="1:5" x14ac:dyDescent="0.3">
      <c r="A182" s="199" t="s">
        <v>543</v>
      </c>
      <c r="B182" s="193" t="s">
        <v>544</v>
      </c>
      <c r="C182" s="98"/>
      <c r="D182" s="98"/>
      <c r="E182">
        <f t="shared" si="1"/>
        <v>1</v>
      </c>
    </row>
    <row r="183" spans="1:5" x14ac:dyDescent="0.3">
      <c r="A183" s="199" t="s">
        <v>545</v>
      </c>
      <c r="B183" s="193" t="s">
        <v>546</v>
      </c>
      <c r="C183" s="3"/>
      <c r="D183" s="3"/>
      <c r="E183">
        <f t="shared" si="1"/>
        <v>1</v>
      </c>
    </row>
    <row r="184" spans="1:5" x14ac:dyDescent="0.3">
      <c r="A184" s="199" t="s">
        <v>547</v>
      </c>
      <c r="B184" s="193" t="s">
        <v>548</v>
      </c>
      <c r="C184" s="98"/>
      <c r="D184" s="98"/>
      <c r="E184">
        <f t="shared" si="1"/>
        <v>1</v>
      </c>
    </row>
    <row r="185" spans="1:5" x14ac:dyDescent="0.3">
      <c r="A185" s="199" t="s">
        <v>549</v>
      </c>
      <c r="B185" s="193" t="s">
        <v>550</v>
      </c>
      <c r="C185" s="3"/>
      <c r="D185" s="3"/>
      <c r="E185">
        <f t="shared" si="1"/>
        <v>1</v>
      </c>
    </row>
    <row r="186" spans="1:5" x14ac:dyDescent="0.3">
      <c r="A186" s="199" t="s">
        <v>690</v>
      </c>
      <c r="B186" s="193" t="s">
        <v>554</v>
      </c>
      <c r="C186" s="57"/>
      <c r="D186" s="57"/>
      <c r="E186">
        <f t="shared" si="1"/>
        <v>1</v>
      </c>
    </row>
  </sheetData>
  <sortState xmlns:xlrd2="http://schemas.microsoft.com/office/spreadsheetml/2017/richdata2" ref="A66:B186">
    <sortCondition ref="A66:A186"/>
  </sortState>
  <phoneticPr fontId="5"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8D6AE-72CC-4777-BE30-8704CD8D8681}">
  <sheetPr>
    <tabColor theme="9" tint="0.79998168889431442"/>
  </sheetPr>
  <dimension ref="A1:BI124"/>
  <sheetViews>
    <sheetView zoomScaleNormal="100" workbookViewId="0">
      <pane xSplit="1" ySplit="1" topLeftCell="B2" activePane="bottomRight" state="frozen"/>
      <selection pane="topRight" activeCell="B1" sqref="B1"/>
      <selection pane="bottomLeft" activeCell="A2" sqref="A2"/>
      <selection pane="bottomRight" sqref="A1:AK123"/>
    </sheetView>
  </sheetViews>
  <sheetFormatPr defaultRowHeight="14.4" x14ac:dyDescent="0.3"/>
  <cols>
    <col min="2" max="5" width="9.109375" style="120"/>
    <col min="10" max="10" width="11.44140625" customWidth="1"/>
    <col min="13" max="13" width="10.5546875" customWidth="1"/>
    <col min="16" max="16" width="10.6640625" customWidth="1"/>
    <col min="19" max="19" width="11.5546875" customWidth="1"/>
    <col min="22" max="22" width="11" customWidth="1"/>
    <col min="25" max="25" width="10.6640625" customWidth="1"/>
    <col min="28" max="28" width="11.88671875" customWidth="1"/>
    <col min="31" max="31" width="11.5546875" customWidth="1"/>
    <col min="34" max="34" width="11.109375" customWidth="1"/>
    <col min="37" max="37" width="11" customWidth="1"/>
  </cols>
  <sheetData>
    <row r="1" spans="1:61" x14ac:dyDescent="0.3">
      <c r="A1" s="193" t="s">
        <v>259</v>
      </c>
      <c r="B1" s="193" t="s">
        <v>138</v>
      </c>
      <c r="C1" s="193" t="s">
        <v>125</v>
      </c>
      <c r="D1" s="193" t="s">
        <v>112</v>
      </c>
      <c r="E1" s="193" t="s">
        <v>139</v>
      </c>
      <c r="F1" s="193" t="s">
        <v>126</v>
      </c>
      <c r="G1" s="193" t="s">
        <v>113</v>
      </c>
      <c r="H1" s="193" t="s">
        <v>140</v>
      </c>
      <c r="I1" s="193" t="s">
        <v>127</v>
      </c>
      <c r="J1" s="193" t="s">
        <v>114</v>
      </c>
      <c r="K1" s="193" t="s">
        <v>141</v>
      </c>
      <c r="L1" s="193" t="s">
        <v>128</v>
      </c>
      <c r="M1" s="193" t="s">
        <v>115</v>
      </c>
      <c r="N1" s="193" t="s">
        <v>142</v>
      </c>
      <c r="O1" s="193" t="s">
        <v>129</v>
      </c>
      <c r="P1" s="193" t="s">
        <v>116</v>
      </c>
      <c r="Q1" s="193" t="s">
        <v>143</v>
      </c>
      <c r="R1" s="193" t="s">
        <v>130</v>
      </c>
      <c r="S1" s="193" t="s">
        <v>117</v>
      </c>
      <c r="T1" s="193" t="s">
        <v>144</v>
      </c>
      <c r="U1" s="193" t="s">
        <v>131</v>
      </c>
      <c r="V1" s="193" t="s">
        <v>118</v>
      </c>
      <c r="W1" s="193" t="s">
        <v>145</v>
      </c>
      <c r="X1" s="193" t="s">
        <v>132</v>
      </c>
      <c r="Y1" s="193" t="s">
        <v>119</v>
      </c>
      <c r="Z1" s="193" t="s">
        <v>146</v>
      </c>
      <c r="AA1" s="193" t="s">
        <v>133</v>
      </c>
      <c r="AB1" s="193" t="s">
        <v>120</v>
      </c>
      <c r="AC1" s="193" t="s">
        <v>147</v>
      </c>
      <c r="AD1" s="193" t="s">
        <v>134</v>
      </c>
      <c r="AE1" s="193" t="s">
        <v>121</v>
      </c>
      <c r="AF1" s="193" t="s">
        <v>148</v>
      </c>
      <c r="AG1" s="193" t="s">
        <v>135</v>
      </c>
      <c r="AH1" s="193" t="s">
        <v>122</v>
      </c>
      <c r="AI1" s="193" t="s">
        <v>149</v>
      </c>
      <c r="AJ1" s="193" t="s">
        <v>136</v>
      </c>
      <c r="AK1" s="193" t="s">
        <v>123</v>
      </c>
      <c r="AL1" s="55"/>
      <c r="AM1" s="55"/>
      <c r="AN1" s="55"/>
      <c r="AO1" s="55"/>
      <c r="AP1" s="55"/>
      <c r="AQ1" s="55"/>
      <c r="AR1" s="55"/>
      <c r="AS1" s="55"/>
      <c r="AT1" s="55"/>
      <c r="AU1" s="55"/>
      <c r="AV1" s="55"/>
      <c r="AW1" s="55"/>
      <c r="AX1" s="55"/>
      <c r="AY1" s="55"/>
      <c r="AZ1" s="55"/>
      <c r="BA1" s="55"/>
      <c r="BB1" s="55"/>
      <c r="BC1" s="55"/>
      <c r="BD1" s="55"/>
      <c r="BE1" s="55"/>
      <c r="BF1" s="55"/>
      <c r="BG1" s="55"/>
      <c r="BH1" s="55"/>
      <c r="BI1" s="55"/>
    </row>
    <row r="2" spans="1:61" x14ac:dyDescent="0.3">
      <c r="A2" s="193" t="s">
        <v>685</v>
      </c>
      <c r="B2" s="194">
        <v>0.46370604634284973</v>
      </c>
      <c r="C2" s="194">
        <v>0.47206079959869385</v>
      </c>
      <c r="D2" s="194">
        <v>2237</v>
      </c>
      <c r="E2" s="194">
        <v>0.45727068185806274</v>
      </c>
      <c r="F2" s="194">
        <v>0.45520690083503723</v>
      </c>
      <c r="G2" s="194">
        <v>2199</v>
      </c>
      <c r="H2" s="194">
        <v>0.44871017336845398</v>
      </c>
      <c r="I2" s="194">
        <v>0.4446893036365509</v>
      </c>
      <c r="J2" s="194">
        <v>2269</v>
      </c>
      <c r="K2" s="194">
        <v>0.45591861009597778</v>
      </c>
      <c r="L2" s="194">
        <v>0.44627711176872253</v>
      </c>
      <c r="M2" s="194">
        <v>2122</v>
      </c>
      <c r="N2" s="194">
        <v>0.46794673800468445</v>
      </c>
      <c r="O2" s="194">
        <v>0.47782546281814575</v>
      </c>
      <c r="P2" s="194">
        <v>2097</v>
      </c>
      <c r="Q2" s="194">
        <v>0.49323910474777222</v>
      </c>
      <c r="R2" s="194">
        <v>0.47923180460929871</v>
      </c>
      <c r="S2" s="194">
        <v>2239</v>
      </c>
      <c r="T2" s="194">
        <v>0.50809448957443237</v>
      </c>
      <c r="U2" s="194">
        <v>0.52255988121032715</v>
      </c>
      <c r="V2" s="194">
        <v>2172</v>
      </c>
      <c r="W2" s="194">
        <v>0.52629280090332031</v>
      </c>
      <c r="X2" s="194">
        <v>0.52239447832107544</v>
      </c>
      <c r="Y2" s="194">
        <v>2322</v>
      </c>
      <c r="Z2" s="194">
        <v>0.52859741449356079</v>
      </c>
      <c r="AA2" s="194">
        <v>0.53353017568588257</v>
      </c>
      <c r="AB2" s="194">
        <v>2371</v>
      </c>
      <c r="AC2" s="194">
        <v>0.52364552021026611</v>
      </c>
      <c r="AD2" s="194">
        <v>0.52969896793365479</v>
      </c>
      <c r="AE2" s="194">
        <v>2458</v>
      </c>
      <c r="AF2" s="194">
        <v>0.52436548471450806</v>
      </c>
      <c r="AG2" s="194">
        <v>0.50955879688262939</v>
      </c>
      <c r="AH2" s="194">
        <v>2720</v>
      </c>
      <c r="AI2" s="194">
        <v>0.52194762229919434</v>
      </c>
      <c r="AJ2" s="194">
        <v>0.53441894054412842</v>
      </c>
      <c r="AK2" s="194">
        <v>2702</v>
      </c>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row>
    <row r="3" spans="1:61" x14ac:dyDescent="0.3">
      <c r="A3" s="193" t="s">
        <v>402</v>
      </c>
      <c r="B3" s="194">
        <v>0.30337077379226685</v>
      </c>
      <c r="C3" s="194">
        <v>0.27659574151039124</v>
      </c>
      <c r="D3" s="194">
        <v>47</v>
      </c>
      <c r="E3" s="194">
        <v>0.296875</v>
      </c>
      <c r="F3" s="194">
        <v>0.3333333432674408</v>
      </c>
      <c r="G3" s="194">
        <v>42</v>
      </c>
      <c r="H3" s="194">
        <v>0.33928570151329041</v>
      </c>
      <c r="I3" s="194">
        <v>0.28205129504203796</v>
      </c>
      <c r="J3" s="194">
        <v>39</v>
      </c>
      <c r="K3" s="194">
        <v>0.3174603283405304</v>
      </c>
      <c r="L3" s="194">
        <v>0.41935482621192932</v>
      </c>
      <c r="M3" s="194">
        <v>31</v>
      </c>
      <c r="N3" s="194">
        <v>0.26446279883384705</v>
      </c>
      <c r="O3" s="194">
        <v>0.28571429848670959</v>
      </c>
      <c r="P3" s="194">
        <v>56</v>
      </c>
      <c r="Q3" s="194">
        <v>0.22330096364021301</v>
      </c>
      <c r="R3" s="194">
        <v>8.8235296308994293E-2</v>
      </c>
      <c r="S3" s="194">
        <v>34</v>
      </c>
      <c r="T3" s="194">
        <v>0.1111111119389534</v>
      </c>
      <c r="U3" s="194">
        <v>0.30769231915473938</v>
      </c>
      <c r="V3" s="194">
        <v>13</v>
      </c>
      <c r="W3" s="194">
        <v>8.6206898093223572E-2</v>
      </c>
      <c r="X3" s="194">
        <v>3.9999999105930328E-2</v>
      </c>
      <c r="Y3" s="194">
        <v>25</v>
      </c>
      <c r="Z3" s="194">
        <v>3.125E-2</v>
      </c>
      <c r="AA3" s="194">
        <v>0</v>
      </c>
      <c r="AB3" s="194">
        <v>20</v>
      </c>
      <c r="AC3" s="194">
        <v>3.5714287310838699E-2</v>
      </c>
      <c r="AD3" s="194">
        <v>5.2631579339504242E-2</v>
      </c>
      <c r="AE3" s="194">
        <v>19</v>
      </c>
      <c r="AF3" s="194">
        <v>4.3478261679410934E-2</v>
      </c>
      <c r="AG3" s="194">
        <v>5.8823529630899429E-2</v>
      </c>
      <c r="AH3" s="194">
        <v>17</v>
      </c>
      <c r="AI3" s="194">
        <v>3.9999999105930328E-2</v>
      </c>
      <c r="AJ3" s="194">
        <v>3.0303031206130981E-2</v>
      </c>
      <c r="AK3" s="194">
        <v>33</v>
      </c>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row>
    <row r="4" spans="1:61" x14ac:dyDescent="0.3">
      <c r="A4" s="193" t="s">
        <v>472</v>
      </c>
      <c r="B4" s="194">
        <v>0.5</v>
      </c>
      <c r="C4" s="194">
        <v>0.44680851697921753</v>
      </c>
      <c r="D4" s="194">
        <v>47</v>
      </c>
      <c r="E4" s="194">
        <v>0.5039370059967041</v>
      </c>
      <c r="F4" s="194">
        <v>0.56097561120986938</v>
      </c>
      <c r="G4" s="194">
        <v>41</v>
      </c>
      <c r="H4" s="194">
        <v>0.53097343444824219</v>
      </c>
      <c r="I4" s="194">
        <v>0.5128205418586731</v>
      </c>
      <c r="J4" s="194">
        <v>39</v>
      </c>
      <c r="K4" s="194">
        <v>0.58878505229949951</v>
      </c>
      <c r="L4" s="194">
        <v>0.5151515007019043</v>
      </c>
      <c r="M4" s="194">
        <v>33</v>
      </c>
      <c r="N4" s="194">
        <v>0.70192307233810425</v>
      </c>
      <c r="O4" s="194">
        <v>0.74285715818405151</v>
      </c>
      <c r="P4" s="194">
        <v>35</v>
      </c>
      <c r="Q4" s="194">
        <v>0.79439252614974976</v>
      </c>
      <c r="R4" s="194">
        <v>0.83333331346511841</v>
      </c>
      <c r="S4" s="194">
        <v>36</v>
      </c>
      <c r="T4" s="194">
        <v>0.83898305892944336</v>
      </c>
      <c r="U4" s="194">
        <v>0.80555558204650879</v>
      </c>
      <c r="V4" s="194">
        <v>36</v>
      </c>
      <c r="W4" s="194">
        <v>0.82456141710281372</v>
      </c>
      <c r="X4" s="194">
        <v>0.86956518888473511</v>
      </c>
      <c r="Y4" s="194">
        <v>46</v>
      </c>
      <c r="Z4" s="194">
        <v>0.81889766454696655</v>
      </c>
      <c r="AA4" s="194">
        <v>0.78125</v>
      </c>
      <c r="AB4" s="194">
        <v>32</v>
      </c>
      <c r="AC4" s="194">
        <v>0.76551723480224609</v>
      </c>
      <c r="AD4" s="194">
        <v>0.79591834545135498</v>
      </c>
      <c r="AE4" s="194">
        <v>49</v>
      </c>
      <c r="AF4" s="194">
        <v>0.78658539056777954</v>
      </c>
      <c r="AG4" s="194">
        <v>0.734375</v>
      </c>
      <c r="AH4" s="194">
        <v>64</v>
      </c>
      <c r="AI4" s="194">
        <v>0.78260868787765503</v>
      </c>
      <c r="AJ4" s="194">
        <v>0.84313726425170898</v>
      </c>
      <c r="AK4" s="194">
        <v>51</v>
      </c>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row>
    <row r="5" spans="1:61" x14ac:dyDescent="0.3">
      <c r="A5" s="193" t="s">
        <v>524</v>
      </c>
      <c r="B5" s="194">
        <v>0.59322035312652588</v>
      </c>
      <c r="C5" s="194">
        <v>0.73529410362243652</v>
      </c>
      <c r="D5" s="194">
        <v>34</v>
      </c>
      <c r="E5" s="194">
        <v>0.47560974955558777</v>
      </c>
      <c r="F5" s="194">
        <v>0.40000000596046448</v>
      </c>
      <c r="G5" s="194">
        <v>25</v>
      </c>
      <c r="H5" s="194">
        <v>0.26923078298568726</v>
      </c>
      <c r="I5" s="194">
        <v>0.17391304671764374</v>
      </c>
      <c r="J5" s="194">
        <v>23</v>
      </c>
      <c r="K5" s="194">
        <v>0.22666667401790619</v>
      </c>
      <c r="L5" s="194">
        <v>0.23333333432674408</v>
      </c>
      <c r="M5" s="194">
        <v>30</v>
      </c>
      <c r="N5" s="194">
        <v>0.2361111044883728</v>
      </c>
      <c r="O5" s="194">
        <v>0.27272728085517883</v>
      </c>
      <c r="P5" s="194">
        <v>22</v>
      </c>
      <c r="Q5" s="194">
        <v>0.29411765933036804</v>
      </c>
      <c r="R5" s="194">
        <v>0.20000000298023224</v>
      </c>
      <c r="S5" s="194">
        <v>20</v>
      </c>
      <c r="T5" s="194">
        <v>0.34666666388511658</v>
      </c>
      <c r="U5" s="194">
        <v>0.38461539149284363</v>
      </c>
      <c r="V5" s="194">
        <v>26</v>
      </c>
      <c r="W5" s="194">
        <v>0.40000000596046448</v>
      </c>
      <c r="X5" s="194">
        <v>0.41379311680793762</v>
      </c>
      <c r="Y5" s="194">
        <v>29</v>
      </c>
      <c r="Z5" s="194">
        <v>0.37349396944046021</v>
      </c>
      <c r="AA5" s="194">
        <v>0.40000000596046448</v>
      </c>
      <c r="AB5" s="194">
        <v>25</v>
      </c>
      <c r="AC5" s="194">
        <v>0.29629629850387573</v>
      </c>
      <c r="AD5" s="194">
        <v>0.31034481525421143</v>
      </c>
      <c r="AE5" s="194">
        <v>29</v>
      </c>
      <c r="AF5" s="194">
        <v>0.23595505952835083</v>
      </c>
      <c r="AG5" s="194">
        <v>0.18518517911434174</v>
      </c>
      <c r="AH5" s="194">
        <v>27</v>
      </c>
      <c r="AI5" s="194">
        <v>0.20000000298023224</v>
      </c>
      <c r="AJ5" s="194">
        <v>0.21212121844291687</v>
      </c>
      <c r="AK5" s="194">
        <v>33</v>
      </c>
      <c r="AL5" s="140"/>
      <c r="AM5" s="140"/>
      <c r="AN5" s="140"/>
      <c r="AO5" s="140"/>
      <c r="AP5" s="140"/>
      <c r="AQ5" s="140"/>
      <c r="AR5" s="140"/>
      <c r="AS5" s="140"/>
      <c r="AT5" s="140"/>
      <c r="AU5" s="140"/>
      <c r="AV5" s="140"/>
      <c r="AW5" s="140"/>
      <c r="AX5" s="140"/>
      <c r="AY5" s="140"/>
      <c r="AZ5" s="140"/>
      <c r="BA5" s="140"/>
      <c r="BB5" s="140"/>
      <c r="BC5" s="140"/>
      <c r="BD5" s="140"/>
      <c r="BE5" s="140"/>
      <c r="BF5" s="140"/>
      <c r="BG5" s="140"/>
      <c r="BH5" s="140"/>
      <c r="BI5" s="140"/>
    </row>
    <row r="6" spans="1:61" x14ac:dyDescent="0.3">
      <c r="A6" s="193" t="s">
        <v>378</v>
      </c>
      <c r="B6" s="194">
        <v>0.64705884456634521</v>
      </c>
      <c r="C6" s="194">
        <v>0.80000001192092896</v>
      </c>
      <c r="D6" s="194">
        <v>5</v>
      </c>
      <c r="E6" s="194">
        <v>0.5</v>
      </c>
      <c r="F6" s="194">
        <v>0.58333331346511841</v>
      </c>
      <c r="G6" s="194">
        <v>12</v>
      </c>
      <c r="H6" s="194">
        <v>0.48148149251937866</v>
      </c>
      <c r="I6" s="194">
        <v>0.2222222238779068</v>
      </c>
      <c r="J6" s="194">
        <v>9</v>
      </c>
      <c r="K6" s="194">
        <v>0.55000001192092896</v>
      </c>
      <c r="L6" s="194">
        <v>0.66666668653488159</v>
      </c>
      <c r="M6" s="194">
        <v>6</v>
      </c>
      <c r="N6" s="194">
        <v>0.78571426868438721</v>
      </c>
      <c r="O6" s="194">
        <v>1</v>
      </c>
      <c r="P6" s="194">
        <v>5</v>
      </c>
      <c r="Q6" s="194">
        <v>0.64705884456634521</v>
      </c>
      <c r="R6" s="194">
        <v>0.66666668653488159</v>
      </c>
      <c r="S6" s="194">
        <v>3</v>
      </c>
      <c r="T6" s="194">
        <v>0.66666668653488159</v>
      </c>
      <c r="U6" s="194">
        <v>0.4444444477558136</v>
      </c>
      <c r="V6" s="194">
        <v>9</v>
      </c>
      <c r="W6" s="194">
        <v>0.68181818723678589</v>
      </c>
      <c r="X6" s="194">
        <v>0.8888888955116272</v>
      </c>
      <c r="Y6" s="194">
        <v>9</v>
      </c>
      <c r="Z6" s="194">
        <v>0.78947371244430542</v>
      </c>
      <c r="AA6" s="194">
        <v>0.75</v>
      </c>
      <c r="AB6" s="194">
        <v>4</v>
      </c>
      <c r="AC6" s="194">
        <v>0.5</v>
      </c>
      <c r="AD6" s="194">
        <v>0.66666668653488159</v>
      </c>
      <c r="AE6" s="194">
        <v>6</v>
      </c>
      <c r="AF6" s="194">
        <v>0.45161288976669312</v>
      </c>
      <c r="AG6" s="194">
        <v>0.1666666716337204</v>
      </c>
      <c r="AH6" s="194">
        <v>6</v>
      </c>
      <c r="AI6" s="194">
        <v>0.40000000596046448</v>
      </c>
      <c r="AJ6" s="194">
        <v>0.47368422150611877</v>
      </c>
      <c r="AK6" s="194">
        <v>19</v>
      </c>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row>
    <row r="7" spans="1:61" x14ac:dyDescent="0.3">
      <c r="A7" s="193" t="s">
        <v>281</v>
      </c>
      <c r="B7" s="194">
        <v>4.76190485060215E-2</v>
      </c>
      <c r="C7" s="194">
        <v>0</v>
      </c>
      <c r="D7" s="194">
        <v>11</v>
      </c>
      <c r="E7" s="194">
        <v>0.1304347813129425</v>
      </c>
      <c r="F7" s="194">
        <v>0.10000000149011612</v>
      </c>
      <c r="G7" s="194">
        <v>10</v>
      </c>
      <c r="H7" s="194">
        <v>0.13793103396892548</v>
      </c>
      <c r="I7" s="194">
        <v>0.20000000298023224</v>
      </c>
      <c r="J7" s="194">
        <v>25</v>
      </c>
      <c r="K7" s="194">
        <v>0.12962962687015533</v>
      </c>
      <c r="L7" s="194">
        <v>8.6956523358821869E-2</v>
      </c>
      <c r="M7" s="194">
        <v>23</v>
      </c>
      <c r="N7" s="194">
        <v>5.2631579339504242E-2</v>
      </c>
      <c r="O7" s="194">
        <v>0</v>
      </c>
      <c r="P7" s="194">
        <v>6</v>
      </c>
      <c r="Q7" s="194">
        <v>0</v>
      </c>
      <c r="R7" s="194">
        <v>0</v>
      </c>
      <c r="S7" s="194">
        <v>9</v>
      </c>
      <c r="T7" s="194">
        <v>0</v>
      </c>
      <c r="U7" s="194">
        <v>0</v>
      </c>
      <c r="V7" s="194">
        <v>20</v>
      </c>
      <c r="W7" s="194">
        <v>1.7543859779834747E-2</v>
      </c>
      <c r="X7" s="194">
        <v>0</v>
      </c>
      <c r="Y7" s="194">
        <v>24</v>
      </c>
      <c r="Z7" s="194">
        <v>1.6949152573943138E-2</v>
      </c>
      <c r="AA7" s="194">
        <v>7.6923079788684845E-2</v>
      </c>
      <c r="AB7" s="194">
        <v>13</v>
      </c>
      <c r="AC7" s="194">
        <v>4.2553190141916275E-2</v>
      </c>
      <c r="AD7" s="194">
        <v>0</v>
      </c>
      <c r="AE7" s="194">
        <v>22</v>
      </c>
      <c r="AF7" s="194">
        <v>2.1276595070958138E-2</v>
      </c>
      <c r="AG7" s="194">
        <v>8.3333335816860199E-2</v>
      </c>
      <c r="AH7" s="194">
        <v>12</v>
      </c>
      <c r="AI7" s="194">
        <v>3.9999999105930328E-2</v>
      </c>
      <c r="AJ7" s="194">
        <v>0</v>
      </c>
      <c r="AK7" s="194">
        <v>13</v>
      </c>
      <c r="AL7" s="140"/>
      <c r="AM7" s="140"/>
      <c r="AN7" s="140"/>
      <c r="AO7" s="140"/>
      <c r="AP7" s="140"/>
      <c r="AQ7" s="140"/>
      <c r="AR7" s="140"/>
      <c r="AS7" s="140"/>
      <c r="AT7" s="140"/>
      <c r="AU7" s="140"/>
      <c r="AV7" s="140"/>
      <c r="AW7" s="140"/>
      <c r="AX7" s="140"/>
      <c r="AY7" s="140"/>
      <c r="AZ7" s="140"/>
      <c r="BA7" s="140"/>
      <c r="BB7" s="140"/>
      <c r="BC7" s="140"/>
      <c r="BD7" s="140"/>
      <c r="BE7" s="140"/>
      <c r="BF7" s="140"/>
      <c r="BG7" s="140"/>
      <c r="BH7" s="140"/>
      <c r="BI7" s="140"/>
    </row>
    <row r="8" spans="1:61" x14ac:dyDescent="0.3">
      <c r="A8" s="193" t="s">
        <v>398</v>
      </c>
      <c r="B8" s="194">
        <v>0.35483869910240173</v>
      </c>
      <c r="C8" s="194">
        <v>0.2222222238779068</v>
      </c>
      <c r="D8" s="194">
        <v>18</v>
      </c>
      <c r="E8" s="194">
        <v>0.36734694242477417</v>
      </c>
      <c r="F8" s="194">
        <v>0.53846156597137451</v>
      </c>
      <c r="G8" s="194">
        <v>13</v>
      </c>
      <c r="H8" s="194">
        <v>0.52631580829620361</v>
      </c>
      <c r="I8" s="194">
        <v>0.3888888955116272</v>
      </c>
      <c r="J8" s="194">
        <v>18</v>
      </c>
      <c r="K8" s="194">
        <v>0.45714285969734192</v>
      </c>
      <c r="L8" s="194">
        <v>0.8571428656578064</v>
      </c>
      <c r="M8" s="194">
        <v>7</v>
      </c>
      <c r="N8" s="194">
        <v>0.5</v>
      </c>
      <c r="O8" s="194">
        <v>0.30000001192092896</v>
      </c>
      <c r="P8" s="194">
        <v>10</v>
      </c>
      <c r="Q8" s="194">
        <v>0.4117647111415863</v>
      </c>
      <c r="R8" s="194">
        <v>0.4444444477558136</v>
      </c>
      <c r="S8" s="194">
        <v>9</v>
      </c>
      <c r="T8" s="194">
        <v>0.55555558204650879</v>
      </c>
      <c r="U8" s="194">
        <v>0.46666666865348816</v>
      </c>
      <c r="V8" s="194">
        <v>15</v>
      </c>
      <c r="W8" s="194">
        <v>0.60526317358016968</v>
      </c>
      <c r="X8" s="194">
        <v>0.75</v>
      </c>
      <c r="Y8" s="194">
        <v>12</v>
      </c>
      <c r="Z8" s="194">
        <v>0.64444446563720703</v>
      </c>
      <c r="AA8" s="194">
        <v>0.63636362552642822</v>
      </c>
      <c r="AB8" s="194">
        <v>11</v>
      </c>
      <c r="AC8" s="194">
        <v>0.64150941371917725</v>
      </c>
      <c r="AD8" s="194">
        <v>0.59090906381607056</v>
      </c>
      <c r="AE8" s="194">
        <v>22</v>
      </c>
      <c r="AF8" s="194">
        <v>0.67142856121063232</v>
      </c>
      <c r="AG8" s="194">
        <v>0.69999998807907104</v>
      </c>
      <c r="AH8" s="194">
        <v>20</v>
      </c>
      <c r="AI8" s="194">
        <v>0.70833331346511841</v>
      </c>
      <c r="AJ8" s="194">
        <v>0.71428573131561279</v>
      </c>
      <c r="AK8" s="194">
        <v>28</v>
      </c>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row>
    <row r="9" spans="1:61" x14ac:dyDescent="0.3">
      <c r="A9" s="193" t="s">
        <v>452</v>
      </c>
      <c r="B9" s="194">
        <v>0.36666667461395264</v>
      </c>
      <c r="C9" s="194">
        <v>0.29411765933036804</v>
      </c>
      <c r="D9" s="194">
        <v>17</v>
      </c>
      <c r="E9" s="194">
        <v>0.3095238208770752</v>
      </c>
      <c r="F9" s="194">
        <v>0.46153846383094788</v>
      </c>
      <c r="G9" s="194">
        <v>13</v>
      </c>
      <c r="H9" s="194">
        <v>0.26190477609634399</v>
      </c>
      <c r="I9" s="194">
        <v>0.1666666716337204</v>
      </c>
      <c r="J9" s="194">
        <v>12</v>
      </c>
      <c r="K9" s="194">
        <v>0.20512820780277252</v>
      </c>
      <c r="L9" s="194">
        <v>0.17647059261798859</v>
      </c>
      <c r="M9" s="194">
        <v>17</v>
      </c>
      <c r="N9" s="194">
        <v>0.38775509595870972</v>
      </c>
      <c r="O9" s="194">
        <v>0.30000001192092896</v>
      </c>
      <c r="P9" s="194">
        <v>10</v>
      </c>
      <c r="Q9" s="194">
        <v>0.4791666567325592</v>
      </c>
      <c r="R9" s="194">
        <v>0.59090906381607056</v>
      </c>
      <c r="S9" s="194">
        <v>22</v>
      </c>
      <c r="T9" s="194">
        <v>0.56862747669219971</v>
      </c>
      <c r="U9" s="194">
        <v>0.4375</v>
      </c>
      <c r="V9" s="194">
        <v>16</v>
      </c>
      <c r="W9" s="194">
        <v>0.60000002384185791</v>
      </c>
      <c r="X9" s="194">
        <v>0.69230771064758301</v>
      </c>
      <c r="Y9" s="194">
        <v>13</v>
      </c>
      <c r="Z9" s="194">
        <v>0.67441862821578979</v>
      </c>
      <c r="AA9" s="194">
        <v>0.6875</v>
      </c>
      <c r="AB9" s="194">
        <v>16</v>
      </c>
      <c r="AC9" s="194">
        <v>0.63265305757522583</v>
      </c>
      <c r="AD9" s="194">
        <v>0.6428571343421936</v>
      </c>
      <c r="AE9" s="194">
        <v>14</v>
      </c>
      <c r="AF9" s="194">
        <v>0.64444446563720703</v>
      </c>
      <c r="AG9" s="194">
        <v>0.57894736528396606</v>
      </c>
      <c r="AH9" s="194">
        <v>19</v>
      </c>
      <c r="AI9" s="194">
        <v>0.64516127109527588</v>
      </c>
      <c r="AJ9" s="194">
        <v>0.75</v>
      </c>
      <c r="AK9" s="194">
        <v>12</v>
      </c>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row>
    <row r="10" spans="1:61" x14ac:dyDescent="0.3">
      <c r="A10" s="193" t="s">
        <v>520</v>
      </c>
      <c r="B10" s="194">
        <v>0.1111111119389534</v>
      </c>
      <c r="C10" s="194">
        <v>0.5</v>
      </c>
      <c r="D10" s="194">
        <v>2</v>
      </c>
      <c r="E10" s="194">
        <v>7.1428574621677399E-2</v>
      </c>
      <c r="F10" s="194">
        <v>0</v>
      </c>
      <c r="G10" s="194">
        <v>7</v>
      </c>
      <c r="H10" s="194">
        <v>0</v>
      </c>
      <c r="I10" s="194">
        <v>0</v>
      </c>
      <c r="J10" s="194">
        <v>5</v>
      </c>
      <c r="K10" s="194">
        <v>0</v>
      </c>
      <c r="L10" s="194">
        <v>0</v>
      </c>
      <c r="M10" s="194">
        <v>1</v>
      </c>
      <c r="N10" s="194">
        <v>0</v>
      </c>
      <c r="O10" s="194">
        <v>0</v>
      </c>
      <c r="P10" s="194">
        <v>4</v>
      </c>
      <c r="Q10" s="194">
        <v>0.125</v>
      </c>
      <c r="R10" s="194">
        <v>0</v>
      </c>
      <c r="S10" s="194">
        <v>1</v>
      </c>
      <c r="T10" s="194">
        <v>0.20000000298023224</v>
      </c>
      <c r="U10" s="194">
        <v>0.3333333432674408</v>
      </c>
      <c r="V10" s="194">
        <v>3</v>
      </c>
      <c r="W10" s="194">
        <v>0.20000000298023224</v>
      </c>
      <c r="X10" s="194">
        <v>0</v>
      </c>
      <c r="Y10" s="194">
        <v>1</v>
      </c>
      <c r="Z10" s="194">
        <v>0</v>
      </c>
      <c r="AA10" s="194">
        <v>0</v>
      </c>
      <c r="AB10" s="194">
        <v>1</v>
      </c>
      <c r="AC10" s="194">
        <v>0.20000000298023224</v>
      </c>
      <c r="AD10" s="194">
        <v>0</v>
      </c>
      <c r="AE10" s="194">
        <v>1</v>
      </c>
      <c r="AF10" s="194">
        <v>0.25</v>
      </c>
      <c r="AG10" s="194">
        <v>0.3333333432674408</v>
      </c>
      <c r="AH10" s="194">
        <v>3</v>
      </c>
      <c r="AI10" s="194">
        <v>0.3333333432674408</v>
      </c>
      <c r="AJ10" s="194"/>
      <c r="AK10" s="194"/>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row>
    <row r="11" spans="1:61" x14ac:dyDescent="0.3">
      <c r="A11" s="193" t="s">
        <v>510</v>
      </c>
      <c r="B11" s="194">
        <v>0.8888888955116272</v>
      </c>
      <c r="C11" s="194">
        <v>0.91666668653488159</v>
      </c>
      <c r="D11" s="194">
        <v>12</v>
      </c>
      <c r="E11" s="194">
        <v>0.76315790414810181</v>
      </c>
      <c r="F11" s="194">
        <v>0.86666667461395264</v>
      </c>
      <c r="G11" s="194">
        <v>15</v>
      </c>
      <c r="H11" s="194">
        <v>0.58333331346511841</v>
      </c>
      <c r="I11" s="194">
        <v>0.45454546809196472</v>
      </c>
      <c r="J11" s="194">
        <v>11</v>
      </c>
      <c r="K11" s="194">
        <v>0.3888888955116272</v>
      </c>
      <c r="L11" s="194">
        <v>0.30000001192092896</v>
      </c>
      <c r="M11" s="194">
        <v>10</v>
      </c>
      <c r="N11" s="194">
        <v>0.4375</v>
      </c>
      <c r="O11" s="194">
        <v>0.40000000596046448</v>
      </c>
      <c r="P11" s="194">
        <v>15</v>
      </c>
      <c r="Q11" s="194">
        <v>0.52941179275512695</v>
      </c>
      <c r="R11" s="194">
        <v>0.71428573131561279</v>
      </c>
      <c r="S11" s="194">
        <v>7</v>
      </c>
      <c r="T11" s="194">
        <v>0.78125</v>
      </c>
      <c r="U11" s="194">
        <v>0.58333331346511841</v>
      </c>
      <c r="V11" s="194">
        <v>12</v>
      </c>
      <c r="W11" s="194">
        <v>0.67647057771682739</v>
      </c>
      <c r="X11" s="194">
        <v>1</v>
      </c>
      <c r="Y11" s="194">
        <v>13</v>
      </c>
      <c r="Z11" s="194">
        <v>0.71875</v>
      </c>
      <c r="AA11" s="194">
        <v>0.3333333432674408</v>
      </c>
      <c r="AB11" s="194">
        <v>9</v>
      </c>
      <c r="AC11" s="194">
        <v>0.58064514398574829</v>
      </c>
      <c r="AD11" s="194">
        <v>0.69999998807907104</v>
      </c>
      <c r="AE11" s="194">
        <v>10</v>
      </c>
      <c r="AF11" s="194">
        <v>0.60000002384185791</v>
      </c>
      <c r="AG11" s="194">
        <v>0.66666668653488159</v>
      </c>
      <c r="AH11" s="194">
        <v>12</v>
      </c>
      <c r="AI11" s="194">
        <v>0.55000001192092896</v>
      </c>
      <c r="AJ11" s="194">
        <v>0.375</v>
      </c>
      <c r="AK11" s="194">
        <v>8</v>
      </c>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row>
    <row r="12" spans="1:61" x14ac:dyDescent="0.3">
      <c r="A12" s="193" t="s">
        <v>296</v>
      </c>
      <c r="B12" s="194">
        <v>0.76923078298568726</v>
      </c>
      <c r="C12" s="194">
        <v>0.81818181276321411</v>
      </c>
      <c r="D12" s="194">
        <v>11</v>
      </c>
      <c r="E12" s="194">
        <v>0.85000002384185791</v>
      </c>
      <c r="F12" s="194">
        <v>0.73333334922790527</v>
      </c>
      <c r="G12" s="194">
        <v>15</v>
      </c>
      <c r="H12" s="194">
        <v>0.89743590354919434</v>
      </c>
      <c r="I12" s="194">
        <v>1</v>
      </c>
      <c r="J12" s="194">
        <v>14</v>
      </c>
      <c r="K12" s="194">
        <v>0.97222220897674561</v>
      </c>
      <c r="L12" s="194">
        <v>1</v>
      </c>
      <c r="M12" s="194">
        <v>10</v>
      </c>
      <c r="N12" s="194">
        <v>0.90243899822235107</v>
      </c>
      <c r="O12" s="194">
        <v>0.91666668653488159</v>
      </c>
      <c r="P12" s="194">
        <v>12</v>
      </c>
      <c r="Q12" s="194">
        <v>0.89999997615814209</v>
      </c>
      <c r="R12" s="194">
        <v>0.84210526943206787</v>
      </c>
      <c r="S12" s="194">
        <v>19</v>
      </c>
      <c r="T12" s="194">
        <v>0.89743590354919434</v>
      </c>
      <c r="U12" s="194">
        <v>1</v>
      </c>
      <c r="V12" s="194">
        <v>9</v>
      </c>
      <c r="W12" s="194">
        <v>0.88095235824584961</v>
      </c>
      <c r="X12" s="194">
        <v>0.90909093618392944</v>
      </c>
      <c r="Y12" s="194">
        <v>11</v>
      </c>
      <c r="Z12" s="194">
        <v>0.82978725433349609</v>
      </c>
      <c r="AA12" s="194">
        <v>0.81818181276321411</v>
      </c>
      <c r="AB12" s="194">
        <v>22</v>
      </c>
      <c r="AC12" s="194">
        <v>0.81999999284744263</v>
      </c>
      <c r="AD12" s="194">
        <v>0.78571426868438721</v>
      </c>
      <c r="AE12" s="194">
        <v>14</v>
      </c>
      <c r="AF12" s="194">
        <v>0.77499997615814209</v>
      </c>
      <c r="AG12" s="194">
        <v>0.8571428656578064</v>
      </c>
      <c r="AH12" s="194">
        <v>14</v>
      </c>
      <c r="AI12" s="194">
        <v>0.76923078298568726</v>
      </c>
      <c r="AJ12" s="194">
        <v>0.66666668653488159</v>
      </c>
      <c r="AK12" s="194">
        <v>12</v>
      </c>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row>
    <row r="13" spans="1:61" x14ac:dyDescent="0.3">
      <c r="A13" s="193" t="s">
        <v>406</v>
      </c>
      <c r="B13" s="194">
        <v>0.10526315867900848</v>
      </c>
      <c r="C13" s="194">
        <v>6.3829787075519562E-2</v>
      </c>
      <c r="D13" s="194">
        <v>47</v>
      </c>
      <c r="E13" s="194">
        <v>8.0536909401416779E-2</v>
      </c>
      <c r="F13" s="194">
        <v>0.1458333283662796</v>
      </c>
      <c r="G13" s="194">
        <v>48</v>
      </c>
      <c r="H13" s="194">
        <v>0.10062892735004425</v>
      </c>
      <c r="I13" s="194">
        <v>3.7037037312984467E-2</v>
      </c>
      <c r="J13" s="194">
        <v>54</v>
      </c>
      <c r="K13" s="194">
        <v>6.8493150174617767E-2</v>
      </c>
      <c r="L13" s="194">
        <v>0.12280701845884323</v>
      </c>
      <c r="M13" s="194">
        <v>57</v>
      </c>
      <c r="N13" s="194">
        <v>9.5238097012042999E-2</v>
      </c>
      <c r="O13" s="194">
        <v>2.857142873108387E-2</v>
      </c>
      <c r="P13" s="194">
        <v>35</v>
      </c>
      <c r="Q13" s="194">
        <v>7.6923079788684845E-2</v>
      </c>
      <c r="R13" s="194">
        <v>0.11764705926179886</v>
      </c>
      <c r="S13" s="194">
        <v>34</v>
      </c>
      <c r="T13" s="194">
        <v>8.5714288055896759E-2</v>
      </c>
      <c r="U13" s="194">
        <v>9.0909093618392944E-2</v>
      </c>
      <c r="V13" s="194">
        <v>22</v>
      </c>
      <c r="W13" s="194">
        <v>0.10606060922145844</v>
      </c>
      <c r="X13" s="194">
        <v>6.1224490404129028E-2</v>
      </c>
      <c r="Y13" s="194">
        <v>49</v>
      </c>
      <c r="Z13" s="194">
        <v>0.15999999642372131</v>
      </c>
      <c r="AA13" s="194">
        <v>0.14754098653793335</v>
      </c>
      <c r="AB13" s="194">
        <v>61</v>
      </c>
      <c r="AC13" s="194">
        <v>0.2300885021686554</v>
      </c>
      <c r="AD13" s="194">
        <v>0.24615384638309479</v>
      </c>
      <c r="AE13" s="194">
        <v>65</v>
      </c>
      <c r="AF13" s="194">
        <v>0.26666668057441711</v>
      </c>
      <c r="AG13" s="194">
        <v>0.27000001072883606</v>
      </c>
      <c r="AH13" s="194">
        <v>100</v>
      </c>
      <c r="AI13" s="194">
        <v>0.2742857038974762</v>
      </c>
      <c r="AJ13" s="194">
        <v>0.2800000011920929</v>
      </c>
      <c r="AK13" s="194">
        <v>75</v>
      </c>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row>
    <row r="14" spans="1:61" x14ac:dyDescent="0.3">
      <c r="A14" s="193" t="s">
        <v>450</v>
      </c>
      <c r="B14" s="194">
        <v>0.15322580933570862</v>
      </c>
      <c r="C14" s="194">
        <v>0.1269841343164444</v>
      </c>
      <c r="D14" s="194">
        <v>63</v>
      </c>
      <c r="E14" s="194">
        <v>0.14438502490520477</v>
      </c>
      <c r="F14" s="194">
        <v>0.18032786250114441</v>
      </c>
      <c r="G14" s="194">
        <v>61</v>
      </c>
      <c r="H14" s="194">
        <v>0.16853933036327362</v>
      </c>
      <c r="I14" s="194">
        <v>0.1269841343164444</v>
      </c>
      <c r="J14" s="194">
        <v>63</v>
      </c>
      <c r="K14" s="194">
        <v>0.13068181276321411</v>
      </c>
      <c r="L14" s="194">
        <v>0.20370370149612427</v>
      </c>
      <c r="M14" s="194">
        <v>54</v>
      </c>
      <c r="N14" s="194">
        <v>0.13253012299537659</v>
      </c>
      <c r="O14" s="194">
        <v>6.7796610295772552E-2</v>
      </c>
      <c r="P14" s="194">
        <v>59</v>
      </c>
      <c r="Q14" s="194">
        <v>0.10526315867900848</v>
      </c>
      <c r="R14" s="194">
        <v>0.1320754736661911</v>
      </c>
      <c r="S14" s="194">
        <v>53</v>
      </c>
      <c r="T14" s="194">
        <v>0.14074073731899261</v>
      </c>
      <c r="U14" s="194">
        <v>0.125</v>
      </c>
      <c r="V14" s="194">
        <v>40</v>
      </c>
      <c r="W14" s="194">
        <v>0.1492537260055542</v>
      </c>
      <c r="X14" s="194">
        <v>0.1666666716337204</v>
      </c>
      <c r="Y14" s="194">
        <v>42</v>
      </c>
      <c r="Z14" s="194">
        <v>0.15094339847564697</v>
      </c>
      <c r="AA14" s="194">
        <v>0.15384615957736969</v>
      </c>
      <c r="AB14" s="194">
        <v>52</v>
      </c>
      <c r="AC14" s="194">
        <v>0.15544041991233826</v>
      </c>
      <c r="AD14" s="194">
        <v>0.13846154510974884</v>
      </c>
      <c r="AE14" s="194">
        <v>65</v>
      </c>
      <c r="AF14" s="194">
        <v>0.14358974993228912</v>
      </c>
      <c r="AG14" s="194">
        <v>0.17105263471603394</v>
      </c>
      <c r="AH14" s="194">
        <v>76</v>
      </c>
      <c r="AI14" s="194">
        <v>0.14615385234355927</v>
      </c>
      <c r="AJ14" s="194">
        <v>0.1111111119389534</v>
      </c>
      <c r="AK14" s="194">
        <v>54</v>
      </c>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row>
    <row r="15" spans="1:61" x14ac:dyDescent="0.3">
      <c r="A15" s="193" t="s">
        <v>420</v>
      </c>
      <c r="B15" s="194">
        <v>0.3333333432674408</v>
      </c>
      <c r="C15" s="194">
        <v>0.3333333432674408</v>
      </c>
      <c r="D15" s="194">
        <v>3</v>
      </c>
      <c r="E15" s="194">
        <v>0.1666666716337204</v>
      </c>
      <c r="F15" s="194"/>
      <c r="G15" s="194"/>
      <c r="H15" s="194">
        <v>0.1666666716337204</v>
      </c>
      <c r="I15" s="194">
        <v>0</v>
      </c>
      <c r="J15" s="194">
        <v>3</v>
      </c>
      <c r="K15" s="194">
        <v>0.1428571492433548</v>
      </c>
      <c r="L15" s="194">
        <v>0.3333333432674408</v>
      </c>
      <c r="M15" s="194">
        <v>3</v>
      </c>
      <c r="N15" s="194">
        <v>0.4285714328289032</v>
      </c>
      <c r="O15" s="194">
        <v>0</v>
      </c>
      <c r="P15" s="194">
        <v>1</v>
      </c>
      <c r="Q15" s="194">
        <v>0.3333333432674408</v>
      </c>
      <c r="R15" s="194">
        <v>0.66666668653488159</v>
      </c>
      <c r="S15" s="194">
        <v>3</v>
      </c>
      <c r="T15" s="194">
        <v>0.25</v>
      </c>
      <c r="U15" s="194">
        <v>0</v>
      </c>
      <c r="V15" s="194">
        <v>2</v>
      </c>
      <c r="W15" s="194">
        <v>0</v>
      </c>
      <c r="X15" s="194">
        <v>0</v>
      </c>
      <c r="Y15" s="194">
        <v>3</v>
      </c>
      <c r="Z15" s="194">
        <v>0.2142857164144516</v>
      </c>
      <c r="AA15" s="194">
        <v>0</v>
      </c>
      <c r="AB15" s="194">
        <v>3</v>
      </c>
      <c r="AC15" s="194">
        <v>0.36000001430511475</v>
      </c>
      <c r="AD15" s="194">
        <v>0.375</v>
      </c>
      <c r="AE15" s="194">
        <v>8</v>
      </c>
      <c r="AF15" s="194">
        <v>0.47999998927116394</v>
      </c>
      <c r="AG15" s="194">
        <v>0.4285714328289032</v>
      </c>
      <c r="AH15" s="194">
        <v>14</v>
      </c>
      <c r="AI15" s="194">
        <v>0.52941179275512695</v>
      </c>
      <c r="AJ15" s="194">
        <v>1</v>
      </c>
      <c r="AK15" s="194">
        <v>3</v>
      </c>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row>
    <row r="16" spans="1:61" x14ac:dyDescent="0.3">
      <c r="A16" s="193" t="s">
        <v>494</v>
      </c>
      <c r="B16" s="194">
        <v>0.60000002384185791</v>
      </c>
      <c r="C16" s="194">
        <v>0.66666668653488159</v>
      </c>
      <c r="D16" s="194">
        <v>6</v>
      </c>
      <c r="E16" s="194">
        <v>0.5</v>
      </c>
      <c r="F16" s="194">
        <v>0.5</v>
      </c>
      <c r="G16" s="194">
        <v>4</v>
      </c>
      <c r="H16" s="194">
        <v>0.4166666567325592</v>
      </c>
      <c r="I16" s="194">
        <v>0.3333333432674408</v>
      </c>
      <c r="J16" s="194">
        <v>6</v>
      </c>
      <c r="K16" s="194">
        <v>0.5625</v>
      </c>
      <c r="L16" s="194">
        <v>0.5</v>
      </c>
      <c r="M16" s="194">
        <v>2</v>
      </c>
      <c r="N16" s="194">
        <v>0.75</v>
      </c>
      <c r="O16" s="194">
        <v>0.75</v>
      </c>
      <c r="P16" s="194">
        <v>8</v>
      </c>
      <c r="Q16" s="194">
        <v>0.78947371244430542</v>
      </c>
      <c r="R16" s="194">
        <v>0.83333331346511841</v>
      </c>
      <c r="S16" s="194">
        <v>6</v>
      </c>
      <c r="T16" s="194">
        <v>0.76190477609634399</v>
      </c>
      <c r="U16" s="194">
        <v>0.80000001192092896</v>
      </c>
      <c r="V16" s="194">
        <v>5</v>
      </c>
      <c r="W16" s="194">
        <v>0.66666668653488159</v>
      </c>
      <c r="X16" s="194">
        <v>0.69999998807907104</v>
      </c>
      <c r="Y16" s="194">
        <v>10</v>
      </c>
      <c r="Z16" s="194">
        <v>0.55555558204650879</v>
      </c>
      <c r="AA16" s="194">
        <v>0.5</v>
      </c>
      <c r="AB16" s="194">
        <v>6</v>
      </c>
      <c r="AC16" s="194">
        <v>0.59259259700775146</v>
      </c>
      <c r="AD16" s="194">
        <v>0.45454546809196472</v>
      </c>
      <c r="AE16" s="194">
        <v>11</v>
      </c>
      <c r="AF16" s="194">
        <v>0.6071428656578064</v>
      </c>
      <c r="AG16" s="194">
        <v>0.80000001192092896</v>
      </c>
      <c r="AH16" s="194">
        <v>10</v>
      </c>
      <c r="AI16" s="194">
        <v>0.70588237047195435</v>
      </c>
      <c r="AJ16" s="194">
        <v>0.57142859697341919</v>
      </c>
      <c r="AK16" s="194">
        <v>7</v>
      </c>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row>
    <row r="17" spans="1:61" x14ac:dyDescent="0.3">
      <c r="A17" s="193" t="s">
        <v>386</v>
      </c>
      <c r="B17" s="194">
        <v>0.4117647111415863</v>
      </c>
      <c r="C17" s="194">
        <v>0.5</v>
      </c>
      <c r="D17" s="194">
        <v>8</v>
      </c>
      <c r="E17" s="194">
        <v>0.4583333432674408</v>
      </c>
      <c r="F17" s="194">
        <v>0.3333333432674408</v>
      </c>
      <c r="G17" s="194">
        <v>9</v>
      </c>
      <c r="H17" s="194">
        <v>0.42307692766189575</v>
      </c>
      <c r="I17" s="194">
        <v>0.57142859697341919</v>
      </c>
      <c r="J17" s="194">
        <v>7</v>
      </c>
      <c r="K17" s="194">
        <v>0.40000000596046448</v>
      </c>
      <c r="L17" s="194">
        <v>0.40000000596046448</v>
      </c>
      <c r="M17" s="194">
        <v>10</v>
      </c>
      <c r="N17" s="194">
        <v>0.39393940567970276</v>
      </c>
      <c r="O17" s="194">
        <v>0.30769231915473938</v>
      </c>
      <c r="P17" s="194">
        <v>13</v>
      </c>
      <c r="Q17" s="194">
        <v>0.47058823704719543</v>
      </c>
      <c r="R17" s="194">
        <v>0.5</v>
      </c>
      <c r="S17" s="194">
        <v>10</v>
      </c>
      <c r="T17" s="194">
        <v>0.56666666269302368</v>
      </c>
      <c r="U17" s="194">
        <v>0.63636362552642822</v>
      </c>
      <c r="V17" s="194">
        <v>11</v>
      </c>
      <c r="W17" s="194">
        <v>0.67647057771682739</v>
      </c>
      <c r="X17" s="194">
        <v>0.55555558204650879</v>
      </c>
      <c r="Y17" s="194">
        <v>9</v>
      </c>
      <c r="Z17" s="194">
        <v>0.72222220897674561</v>
      </c>
      <c r="AA17" s="194">
        <v>0.78571426868438721</v>
      </c>
      <c r="AB17" s="194">
        <v>14</v>
      </c>
      <c r="AC17" s="194">
        <v>0.78378379344940186</v>
      </c>
      <c r="AD17" s="194">
        <v>0.76923078298568726</v>
      </c>
      <c r="AE17" s="194">
        <v>13</v>
      </c>
      <c r="AF17" s="194">
        <v>0.57142859697341919</v>
      </c>
      <c r="AG17" s="194">
        <v>0.80000001192092896</v>
      </c>
      <c r="AH17" s="194">
        <v>10</v>
      </c>
      <c r="AI17" s="194">
        <v>0.48275861144065857</v>
      </c>
      <c r="AJ17" s="194">
        <v>0.31578946113586426</v>
      </c>
      <c r="AK17" s="194">
        <v>19</v>
      </c>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row>
    <row r="18" spans="1:61" x14ac:dyDescent="0.3">
      <c r="A18" s="193" t="s">
        <v>333</v>
      </c>
      <c r="B18" s="194">
        <v>0.76190477609634399</v>
      </c>
      <c r="C18" s="194">
        <v>0.91666668653488159</v>
      </c>
      <c r="D18" s="194">
        <v>12</v>
      </c>
      <c r="E18" s="194">
        <v>0.73333334922790527</v>
      </c>
      <c r="F18" s="194">
        <v>0.55555558204650879</v>
      </c>
      <c r="G18" s="194">
        <v>9</v>
      </c>
      <c r="H18" s="194">
        <v>0.74074071645736694</v>
      </c>
      <c r="I18" s="194">
        <v>0.66666668653488159</v>
      </c>
      <c r="J18" s="194">
        <v>9</v>
      </c>
      <c r="K18" s="194">
        <v>0.75862067937850952</v>
      </c>
      <c r="L18" s="194">
        <v>1</v>
      </c>
      <c r="M18" s="194">
        <v>9</v>
      </c>
      <c r="N18" s="194">
        <v>0.69999998807907104</v>
      </c>
      <c r="O18" s="194">
        <v>0.63636362552642822</v>
      </c>
      <c r="P18" s="194">
        <v>11</v>
      </c>
      <c r="Q18" s="194">
        <v>0.67647057771682739</v>
      </c>
      <c r="R18" s="194">
        <v>0.5</v>
      </c>
      <c r="S18" s="194">
        <v>10</v>
      </c>
      <c r="T18" s="194">
        <v>0.69696968793869019</v>
      </c>
      <c r="U18" s="194">
        <v>0.8461538553237915</v>
      </c>
      <c r="V18" s="194">
        <v>13</v>
      </c>
      <c r="W18" s="194">
        <v>0.71428573131561279</v>
      </c>
      <c r="X18" s="194">
        <v>0.69999998807907104</v>
      </c>
      <c r="Y18" s="194">
        <v>10</v>
      </c>
      <c r="Z18" s="194">
        <v>0.72727274894714355</v>
      </c>
      <c r="AA18" s="194">
        <v>0.58333331346511841</v>
      </c>
      <c r="AB18" s="194">
        <v>12</v>
      </c>
      <c r="AC18" s="194">
        <v>0.67567569017410278</v>
      </c>
      <c r="AD18" s="194">
        <v>0.90909093618392944</v>
      </c>
      <c r="AE18" s="194">
        <v>11</v>
      </c>
      <c r="AF18" s="194">
        <v>0.64705884456634521</v>
      </c>
      <c r="AG18" s="194">
        <v>0.57142859697341919</v>
      </c>
      <c r="AH18" s="194">
        <v>14</v>
      </c>
      <c r="AI18" s="194">
        <v>0.52173912525177002</v>
      </c>
      <c r="AJ18" s="194">
        <v>0.4444444477558136</v>
      </c>
      <c r="AK18" s="194">
        <v>9</v>
      </c>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row>
    <row r="19" spans="1:61" x14ac:dyDescent="0.3">
      <c r="A19" s="193" t="s">
        <v>536</v>
      </c>
      <c r="B19" s="194">
        <v>0.25</v>
      </c>
      <c r="C19" s="194">
        <v>0.5</v>
      </c>
      <c r="D19" s="194">
        <v>4</v>
      </c>
      <c r="E19" s="194">
        <v>0.20000000298023224</v>
      </c>
      <c r="F19" s="194">
        <v>0.125</v>
      </c>
      <c r="G19" s="194">
        <v>8</v>
      </c>
      <c r="H19" s="194">
        <v>0.190476194024086</v>
      </c>
      <c r="I19" s="194">
        <v>0.125</v>
      </c>
      <c r="J19" s="194">
        <v>8</v>
      </c>
      <c r="K19" s="194">
        <v>0.40000000596046448</v>
      </c>
      <c r="L19" s="194">
        <v>0.40000000596046448</v>
      </c>
      <c r="M19" s="194">
        <v>5</v>
      </c>
      <c r="N19" s="194">
        <v>0.73684209585189819</v>
      </c>
      <c r="O19" s="194">
        <v>0.71428573131561279</v>
      </c>
      <c r="P19" s="194">
        <v>7</v>
      </c>
      <c r="Q19" s="194">
        <v>0.78260868787765503</v>
      </c>
      <c r="R19" s="194">
        <v>1</v>
      </c>
      <c r="S19" s="194">
        <v>7</v>
      </c>
      <c r="T19" s="194">
        <v>0.68181818723678589</v>
      </c>
      <c r="U19" s="194">
        <v>0.66666668653488159</v>
      </c>
      <c r="V19" s="194">
        <v>9</v>
      </c>
      <c r="W19" s="194">
        <v>0.60000002384185791</v>
      </c>
      <c r="X19" s="194">
        <v>0.3333333432674408</v>
      </c>
      <c r="Y19" s="194">
        <v>6</v>
      </c>
      <c r="Z19" s="194">
        <v>0.58333331346511841</v>
      </c>
      <c r="AA19" s="194">
        <v>0.80000001192092896</v>
      </c>
      <c r="AB19" s="194">
        <v>5</v>
      </c>
      <c r="AC19" s="194">
        <v>0.8571428656578064</v>
      </c>
      <c r="AD19" s="194">
        <v>1</v>
      </c>
      <c r="AE19" s="194">
        <v>1</v>
      </c>
      <c r="AF19" s="194">
        <v>0.75</v>
      </c>
      <c r="AG19" s="194">
        <v>1</v>
      </c>
      <c r="AH19" s="194">
        <v>1</v>
      </c>
      <c r="AI19" s="194">
        <v>0.66666668653488159</v>
      </c>
      <c r="AJ19" s="194">
        <v>0.5</v>
      </c>
      <c r="AK19" s="194">
        <v>2</v>
      </c>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row>
    <row r="20" spans="1:61" x14ac:dyDescent="0.3">
      <c r="A20" s="193" t="s">
        <v>544</v>
      </c>
      <c r="B20" s="194">
        <v>0.77272725105285645</v>
      </c>
      <c r="C20" s="194">
        <v>0.8125</v>
      </c>
      <c r="D20" s="194">
        <v>16</v>
      </c>
      <c r="E20" s="194">
        <v>0.74603176116943359</v>
      </c>
      <c r="F20" s="194">
        <v>0.75</v>
      </c>
      <c r="G20" s="194">
        <v>28</v>
      </c>
      <c r="H20" s="194">
        <v>0.746268630027771</v>
      </c>
      <c r="I20" s="194">
        <v>0.68421053886413574</v>
      </c>
      <c r="J20" s="194">
        <v>19</v>
      </c>
      <c r="K20" s="194">
        <v>0.78571426868438721</v>
      </c>
      <c r="L20" s="194">
        <v>0.80000001192092896</v>
      </c>
      <c r="M20" s="194">
        <v>20</v>
      </c>
      <c r="N20" s="194">
        <v>0.83333331346511841</v>
      </c>
      <c r="O20" s="194">
        <v>0.83870965242385864</v>
      </c>
      <c r="P20" s="194">
        <v>31</v>
      </c>
      <c r="Q20" s="194">
        <v>0.83333331346511841</v>
      </c>
      <c r="R20" s="194">
        <v>0.85185188055038452</v>
      </c>
      <c r="S20" s="194">
        <v>27</v>
      </c>
      <c r="T20" s="194">
        <v>0.75</v>
      </c>
      <c r="U20" s="194">
        <v>0.80769228935241699</v>
      </c>
      <c r="V20" s="194">
        <v>26</v>
      </c>
      <c r="W20" s="194">
        <v>0.64615386724472046</v>
      </c>
      <c r="X20" s="194">
        <v>0.52631580829620361</v>
      </c>
      <c r="Y20" s="194">
        <v>19</v>
      </c>
      <c r="Z20" s="194">
        <v>0.54838711023330688</v>
      </c>
      <c r="AA20" s="194">
        <v>0.55000001192092896</v>
      </c>
      <c r="AB20" s="194">
        <v>20</v>
      </c>
      <c r="AC20" s="194">
        <v>0.54285717010498047</v>
      </c>
      <c r="AD20" s="194">
        <v>0.56521737575531006</v>
      </c>
      <c r="AE20" s="194">
        <v>23</v>
      </c>
      <c r="AF20" s="194">
        <v>0.67088609933853149</v>
      </c>
      <c r="AG20" s="194">
        <v>0.51851850748062134</v>
      </c>
      <c r="AH20" s="194">
        <v>27</v>
      </c>
      <c r="AI20" s="194">
        <v>0.71428573131561279</v>
      </c>
      <c r="AJ20" s="194">
        <v>0.89655172824859619</v>
      </c>
      <c r="AK20" s="194">
        <v>29</v>
      </c>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row>
    <row r="21" spans="1:61" x14ac:dyDescent="0.3">
      <c r="A21" s="193" t="s">
        <v>480</v>
      </c>
      <c r="B21" s="194">
        <v>0.52631580829620361</v>
      </c>
      <c r="C21" s="194">
        <v>0.56521737575531006</v>
      </c>
      <c r="D21" s="194">
        <v>23</v>
      </c>
      <c r="E21" s="194">
        <v>0.52727270126342773</v>
      </c>
      <c r="F21" s="194">
        <v>0.46666666865348816</v>
      </c>
      <c r="G21" s="194">
        <v>15</v>
      </c>
      <c r="H21" s="194">
        <v>0.58823531866073608</v>
      </c>
      <c r="I21" s="194">
        <v>0.52941179275512695</v>
      </c>
      <c r="J21" s="194">
        <v>17</v>
      </c>
      <c r="K21" s="194">
        <v>0.61904764175415039</v>
      </c>
      <c r="L21" s="194">
        <v>0.73684209585189819</v>
      </c>
      <c r="M21" s="194">
        <v>19</v>
      </c>
      <c r="N21" s="194">
        <v>0.71428573131561279</v>
      </c>
      <c r="O21" s="194">
        <v>0.59259259700775146</v>
      </c>
      <c r="P21" s="194">
        <v>27</v>
      </c>
      <c r="Q21" s="194">
        <v>0.7361111044883728</v>
      </c>
      <c r="R21" s="194">
        <v>0.83333331346511841</v>
      </c>
      <c r="S21" s="194">
        <v>24</v>
      </c>
      <c r="T21" s="194">
        <v>0.79032260179519653</v>
      </c>
      <c r="U21" s="194">
        <v>0.8095238208770752</v>
      </c>
      <c r="V21" s="194">
        <v>21</v>
      </c>
      <c r="W21" s="194">
        <v>0.71428573131561279</v>
      </c>
      <c r="X21" s="194">
        <v>0.70588237047195435</v>
      </c>
      <c r="Y21" s="194">
        <v>17</v>
      </c>
      <c r="Z21" s="194">
        <v>0.64705884456634521</v>
      </c>
      <c r="AA21" s="194">
        <v>0.63999998569488525</v>
      </c>
      <c r="AB21" s="194">
        <v>25</v>
      </c>
      <c r="AC21" s="194">
        <v>0.61643832921981812</v>
      </c>
      <c r="AD21" s="194">
        <v>0.61538463830947876</v>
      </c>
      <c r="AE21" s="194">
        <v>26</v>
      </c>
      <c r="AF21" s="194">
        <v>0.625</v>
      </c>
      <c r="AG21" s="194">
        <v>0.59090906381607056</v>
      </c>
      <c r="AH21" s="194">
        <v>22</v>
      </c>
      <c r="AI21" s="194">
        <v>0.62962961196899414</v>
      </c>
      <c r="AJ21" s="194">
        <v>0.65625</v>
      </c>
      <c r="AK21" s="194">
        <v>32</v>
      </c>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row>
    <row r="22" spans="1:61" x14ac:dyDescent="0.3">
      <c r="A22" s="193" t="s">
        <v>408</v>
      </c>
      <c r="B22" s="194">
        <v>0.75</v>
      </c>
      <c r="C22" s="194">
        <v>0.625</v>
      </c>
      <c r="D22" s="194">
        <v>8</v>
      </c>
      <c r="E22" s="194">
        <v>0.82608693838119507</v>
      </c>
      <c r="F22" s="194">
        <v>0.875</v>
      </c>
      <c r="G22" s="194">
        <v>8</v>
      </c>
      <c r="H22" s="194">
        <v>0.84210526943206787</v>
      </c>
      <c r="I22" s="194">
        <v>1</v>
      </c>
      <c r="J22" s="194">
        <v>7</v>
      </c>
      <c r="K22" s="194">
        <v>0.69565218687057495</v>
      </c>
      <c r="L22" s="194">
        <v>0.5</v>
      </c>
      <c r="M22" s="194">
        <v>4</v>
      </c>
      <c r="N22" s="194">
        <v>0.5</v>
      </c>
      <c r="O22" s="194">
        <v>0.58333331346511841</v>
      </c>
      <c r="P22" s="194">
        <v>12</v>
      </c>
      <c r="Q22" s="194">
        <v>0.47999998927116394</v>
      </c>
      <c r="R22" s="194">
        <v>0.3333333432674408</v>
      </c>
      <c r="S22" s="194">
        <v>6</v>
      </c>
      <c r="T22" s="194">
        <v>0.42105263471603394</v>
      </c>
      <c r="U22" s="194">
        <v>0.4285714328289032</v>
      </c>
      <c r="V22" s="194">
        <v>7</v>
      </c>
      <c r="W22" s="194">
        <v>0.4444444477558136</v>
      </c>
      <c r="X22" s="194">
        <v>0.5</v>
      </c>
      <c r="Y22" s="194">
        <v>6</v>
      </c>
      <c r="Z22" s="194">
        <v>0.48275861144065857</v>
      </c>
      <c r="AA22" s="194">
        <v>0.4285714328289032</v>
      </c>
      <c r="AB22" s="194">
        <v>14</v>
      </c>
      <c r="AC22" s="194">
        <v>0.51724135875701904</v>
      </c>
      <c r="AD22" s="194">
        <v>0.55555558204650879</v>
      </c>
      <c r="AE22" s="194">
        <v>9</v>
      </c>
      <c r="AF22" s="194">
        <v>0.53846156597137451</v>
      </c>
      <c r="AG22" s="194">
        <v>0.66666668653488159</v>
      </c>
      <c r="AH22" s="194">
        <v>6</v>
      </c>
      <c r="AI22" s="194">
        <v>0.52941179275512695</v>
      </c>
      <c r="AJ22" s="194">
        <v>0.45454546809196472</v>
      </c>
      <c r="AK22" s="194">
        <v>11</v>
      </c>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row>
    <row r="23" spans="1:61" x14ac:dyDescent="0.3">
      <c r="A23" s="193" t="s">
        <v>488</v>
      </c>
      <c r="B23" s="194">
        <v>0</v>
      </c>
      <c r="C23" s="194">
        <v>0</v>
      </c>
      <c r="D23" s="194">
        <v>3</v>
      </c>
      <c r="E23" s="194">
        <v>0</v>
      </c>
      <c r="F23" s="194">
        <v>0</v>
      </c>
      <c r="G23" s="194">
        <v>8</v>
      </c>
      <c r="H23" s="194">
        <v>0</v>
      </c>
      <c r="I23" s="194">
        <v>0</v>
      </c>
      <c r="J23" s="194">
        <v>5</v>
      </c>
      <c r="K23" s="194">
        <v>0</v>
      </c>
      <c r="L23" s="194">
        <v>0</v>
      </c>
      <c r="M23" s="194">
        <v>4</v>
      </c>
      <c r="N23" s="194">
        <v>0</v>
      </c>
      <c r="O23" s="194">
        <v>0</v>
      </c>
      <c r="P23" s="194">
        <v>5</v>
      </c>
      <c r="Q23" s="194">
        <v>7.6923079788684845E-2</v>
      </c>
      <c r="R23" s="194">
        <v>0</v>
      </c>
      <c r="S23" s="194">
        <v>5</v>
      </c>
      <c r="T23" s="194">
        <v>6.6666670143604279E-2</v>
      </c>
      <c r="U23" s="194">
        <v>0.3333333432674408</v>
      </c>
      <c r="V23" s="194">
        <v>3</v>
      </c>
      <c r="W23" s="194">
        <v>8.3333335816860199E-2</v>
      </c>
      <c r="X23" s="194">
        <v>0</v>
      </c>
      <c r="Y23" s="194">
        <v>7</v>
      </c>
      <c r="Z23" s="194">
        <v>0</v>
      </c>
      <c r="AA23" s="194">
        <v>0</v>
      </c>
      <c r="AB23" s="194">
        <v>2</v>
      </c>
      <c r="AC23" s="194">
        <v>4.76190485060215E-2</v>
      </c>
      <c r="AD23" s="194">
        <v>0</v>
      </c>
      <c r="AE23" s="194">
        <v>12</v>
      </c>
      <c r="AF23" s="194">
        <v>5.000000074505806E-2</v>
      </c>
      <c r="AG23" s="194">
        <v>0.1428571492433548</v>
      </c>
      <c r="AH23" s="194">
        <v>7</v>
      </c>
      <c r="AI23" s="194">
        <v>0.125</v>
      </c>
      <c r="AJ23" s="194">
        <v>0</v>
      </c>
      <c r="AK23" s="194">
        <v>1</v>
      </c>
      <c r="AL23" s="140"/>
      <c r="AM23" s="140"/>
      <c r="AN23" s="140"/>
      <c r="AO23" s="140"/>
      <c r="AP23" s="140"/>
      <c r="AQ23" s="140"/>
      <c r="AR23" s="140"/>
      <c r="AS23" s="140"/>
      <c r="AT23" s="140"/>
      <c r="AU23" s="140"/>
      <c r="AV23" s="140"/>
      <c r="AW23" s="140"/>
      <c r="AX23" s="140"/>
      <c r="AY23" s="140"/>
      <c r="AZ23" s="140"/>
      <c r="BA23" s="140"/>
      <c r="BB23" s="140"/>
      <c r="BC23" s="140"/>
      <c r="BD23" s="140"/>
      <c r="BE23" s="140"/>
      <c r="BF23" s="140"/>
      <c r="BG23" s="140"/>
      <c r="BH23" s="140"/>
      <c r="BI23" s="140"/>
    </row>
    <row r="24" spans="1:61" x14ac:dyDescent="0.3">
      <c r="A24" s="193" t="s">
        <v>284</v>
      </c>
      <c r="B24" s="194">
        <v>0.54285717010498047</v>
      </c>
      <c r="C24" s="194">
        <v>0.64999997615814209</v>
      </c>
      <c r="D24" s="194">
        <v>20</v>
      </c>
      <c r="E24" s="194">
        <v>0.42553192377090454</v>
      </c>
      <c r="F24" s="194">
        <v>0.40000000596046448</v>
      </c>
      <c r="G24" s="194">
        <v>15</v>
      </c>
      <c r="H24" s="194">
        <v>0.380952388048172</v>
      </c>
      <c r="I24" s="194">
        <v>8.3333335816860199E-2</v>
      </c>
      <c r="J24" s="194">
        <v>12</v>
      </c>
      <c r="K24" s="194">
        <v>0.36363637447357178</v>
      </c>
      <c r="L24" s="194">
        <v>0.60000002384185791</v>
      </c>
      <c r="M24" s="194">
        <v>15</v>
      </c>
      <c r="N24" s="194">
        <v>0.40000000596046448</v>
      </c>
      <c r="O24" s="194">
        <v>0.35294118523597717</v>
      </c>
      <c r="P24" s="194">
        <v>17</v>
      </c>
      <c r="Q24" s="194">
        <v>0.31372550129890442</v>
      </c>
      <c r="R24" s="194">
        <v>0.27777779102325439</v>
      </c>
      <c r="S24" s="194">
        <v>18</v>
      </c>
      <c r="T24" s="194">
        <v>0.25999999046325684</v>
      </c>
      <c r="U24" s="194">
        <v>0.3125</v>
      </c>
      <c r="V24" s="194">
        <v>16</v>
      </c>
      <c r="W24" s="194">
        <v>0.31999999284744263</v>
      </c>
      <c r="X24" s="194">
        <v>0.1875</v>
      </c>
      <c r="Y24" s="194">
        <v>16</v>
      </c>
      <c r="Z24" s="194">
        <v>0.30158731341362</v>
      </c>
      <c r="AA24" s="194">
        <v>0.4444444477558136</v>
      </c>
      <c r="AB24" s="194">
        <v>18</v>
      </c>
      <c r="AC24" s="194">
        <v>0.31168830394744873</v>
      </c>
      <c r="AD24" s="194">
        <v>0.27586206793785095</v>
      </c>
      <c r="AE24" s="194">
        <v>29</v>
      </c>
      <c r="AF24" s="194">
        <v>0.28735631704330444</v>
      </c>
      <c r="AG24" s="194">
        <v>0.26666668057441711</v>
      </c>
      <c r="AH24" s="194">
        <v>30</v>
      </c>
      <c r="AI24" s="194">
        <v>0.29310345649719238</v>
      </c>
      <c r="AJ24" s="194">
        <v>0.3214285671710968</v>
      </c>
      <c r="AK24" s="194">
        <v>28</v>
      </c>
      <c r="AL24" s="140"/>
      <c r="AM24" s="140"/>
      <c r="AN24" s="140"/>
      <c r="AO24" s="140"/>
      <c r="AP24" s="140"/>
      <c r="AQ24" s="140"/>
      <c r="AR24" s="140"/>
      <c r="AS24" s="140"/>
      <c r="AT24" s="140"/>
      <c r="AU24" s="140"/>
      <c r="AV24" s="140"/>
      <c r="AW24" s="140"/>
      <c r="AX24" s="140"/>
      <c r="AY24" s="140"/>
      <c r="AZ24" s="140"/>
      <c r="BA24" s="140"/>
      <c r="BB24" s="140"/>
      <c r="BC24" s="140"/>
      <c r="BD24" s="140"/>
      <c r="BE24" s="140"/>
      <c r="BF24" s="140"/>
      <c r="BG24" s="140"/>
      <c r="BH24" s="140"/>
      <c r="BI24" s="140"/>
    </row>
    <row r="25" spans="1:61" x14ac:dyDescent="0.3">
      <c r="A25" s="193" t="s">
        <v>554</v>
      </c>
      <c r="B25" s="194">
        <v>0.2380952388048172</v>
      </c>
      <c r="C25" s="194">
        <v>0.25925925374031067</v>
      </c>
      <c r="D25" s="194">
        <v>27</v>
      </c>
      <c r="E25" s="194">
        <v>0.23529411852359772</v>
      </c>
      <c r="F25" s="194">
        <v>0.2222222238779068</v>
      </c>
      <c r="G25" s="194">
        <v>36</v>
      </c>
      <c r="H25" s="194">
        <v>0.30769231915473938</v>
      </c>
      <c r="I25" s="194">
        <v>0.23076923191547394</v>
      </c>
      <c r="J25" s="194">
        <v>39</v>
      </c>
      <c r="K25" s="194">
        <v>0.31632652878761292</v>
      </c>
      <c r="L25" s="194">
        <v>0.4523809552192688</v>
      </c>
      <c r="M25" s="194">
        <v>42</v>
      </c>
      <c r="N25" s="194">
        <v>0.3177570104598999</v>
      </c>
      <c r="O25" s="194">
        <v>0.17647059261798859</v>
      </c>
      <c r="P25" s="194">
        <v>17</v>
      </c>
      <c r="Q25" s="194">
        <v>0.20388349890708923</v>
      </c>
      <c r="R25" s="194">
        <v>0.25</v>
      </c>
      <c r="S25" s="194">
        <v>48</v>
      </c>
      <c r="T25" s="194">
        <v>0.21774193644523621</v>
      </c>
      <c r="U25" s="194">
        <v>0.15789473056793213</v>
      </c>
      <c r="V25" s="194">
        <v>38</v>
      </c>
      <c r="W25" s="194">
        <v>0.21538461744785309</v>
      </c>
      <c r="X25" s="194">
        <v>0.23684211075305939</v>
      </c>
      <c r="Y25" s="194">
        <v>38</v>
      </c>
      <c r="Z25" s="194">
        <v>0.3571428656578064</v>
      </c>
      <c r="AA25" s="194">
        <v>0.24074074625968933</v>
      </c>
      <c r="AB25" s="194">
        <v>54</v>
      </c>
      <c r="AC25" s="194">
        <v>0.41447368264198303</v>
      </c>
      <c r="AD25" s="194">
        <v>0.58333331346511841</v>
      </c>
      <c r="AE25" s="194">
        <v>48</v>
      </c>
      <c r="AF25" s="194">
        <v>0.48571428656578064</v>
      </c>
      <c r="AG25" s="194">
        <v>0.43999999761581421</v>
      </c>
      <c r="AH25" s="194">
        <v>50</v>
      </c>
      <c r="AI25" s="194">
        <v>0.43478259444236755</v>
      </c>
      <c r="AJ25" s="194">
        <v>0.4285714328289032</v>
      </c>
      <c r="AK25" s="194">
        <v>42</v>
      </c>
      <c r="AL25" s="140"/>
      <c r="AM25" s="140"/>
      <c r="AN25" s="140"/>
      <c r="AO25" s="140"/>
      <c r="AP25" s="140"/>
      <c r="AQ25" s="140"/>
      <c r="AR25" s="140"/>
      <c r="AS25" s="140"/>
      <c r="AT25" s="140"/>
      <c r="AU25" s="140"/>
      <c r="AV25" s="140"/>
      <c r="AW25" s="140"/>
      <c r="AX25" s="140"/>
      <c r="AY25" s="140"/>
      <c r="AZ25" s="140"/>
      <c r="BA25" s="140"/>
      <c r="BB25" s="140"/>
      <c r="BC25" s="140"/>
      <c r="BD25" s="140"/>
      <c r="BE25" s="140"/>
      <c r="BF25" s="140"/>
      <c r="BG25" s="140"/>
      <c r="BH25" s="140"/>
      <c r="BI25" s="140"/>
    </row>
    <row r="26" spans="1:61" x14ac:dyDescent="0.3">
      <c r="A26" s="193" t="s">
        <v>369</v>
      </c>
      <c r="B26" s="194">
        <v>0.68421053886413574</v>
      </c>
      <c r="C26" s="194">
        <v>0.60000002384185791</v>
      </c>
      <c r="D26" s="194">
        <v>10</v>
      </c>
      <c r="E26" s="194">
        <v>0.65517240762710571</v>
      </c>
      <c r="F26" s="194">
        <v>0.77777779102325439</v>
      </c>
      <c r="G26" s="194">
        <v>9</v>
      </c>
      <c r="H26" s="194">
        <v>0.625</v>
      </c>
      <c r="I26" s="194">
        <v>0.60000002384185791</v>
      </c>
      <c r="J26" s="194">
        <v>10</v>
      </c>
      <c r="K26" s="194">
        <v>0.5</v>
      </c>
      <c r="L26" s="194">
        <v>0.40000000596046448</v>
      </c>
      <c r="M26" s="194">
        <v>5</v>
      </c>
      <c r="N26" s="194">
        <v>0.5</v>
      </c>
      <c r="O26" s="194">
        <v>0.46153846383094788</v>
      </c>
      <c r="P26" s="194">
        <v>13</v>
      </c>
      <c r="Q26" s="194">
        <v>0.48148149251937866</v>
      </c>
      <c r="R26" s="194">
        <v>0.625</v>
      </c>
      <c r="S26" s="194">
        <v>8</v>
      </c>
      <c r="T26" s="194">
        <v>0.59259259700775146</v>
      </c>
      <c r="U26" s="194">
        <v>0.3333333432674408</v>
      </c>
      <c r="V26" s="194">
        <v>6</v>
      </c>
      <c r="W26" s="194">
        <v>0.53846156597137451</v>
      </c>
      <c r="X26" s="194">
        <v>0.69230771064758301</v>
      </c>
      <c r="Y26" s="194">
        <v>13</v>
      </c>
      <c r="Z26" s="194">
        <v>0.63333332538604736</v>
      </c>
      <c r="AA26" s="194">
        <v>0.4285714328289032</v>
      </c>
      <c r="AB26" s="194">
        <v>7</v>
      </c>
      <c r="AC26" s="194">
        <v>0.6086956262588501</v>
      </c>
      <c r="AD26" s="194">
        <v>0.69999998807907104</v>
      </c>
      <c r="AE26" s="194">
        <v>10</v>
      </c>
      <c r="AF26" s="194">
        <v>0.61538463830947876</v>
      </c>
      <c r="AG26" s="194">
        <v>0.66666668653488159</v>
      </c>
      <c r="AH26" s="194">
        <v>6</v>
      </c>
      <c r="AI26" s="194">
        <v>0.5625</v>
      </c>
      <c r="AJ26" s="194">
        <v>0.5</v>
      </c>
      <c r="AK26" s="194">
        <v>10</v>
      </c>
      <c r="AL26" s="140"/>
      <c r="AM26" s="140"/>
      <c r="AN26" s="140"/>
      <c r="AO26" s="140"/>
      <c r="AP26" s="140"/>
      <c r="AQ26" s="140"/>
      <c r="AR26" s="140"/>
      <c r="AS26" s="140"/>
      <c r="AT26" s="140"/>
      <c r="AU26" s="140"/>
      <c r="AV26" s="140"/>
      <c r="AW26" s="140"/>
      <c r="AX26" s="140"/>
      <c r="AY26" s="140"/>
      <c r="AZ26" s="140"/>
      <c r="BA26" s="140"/>
      <c r="BB26" s="140"/>
      <c r="BC26" s="140"/>
      <c r="BD26" s="140"/>
      <c r="BE26" s="140"/>
      <c r="BF26" s="140"/>
      <c r="BG26" s="140"/>
      <c r="BH26" s="140"/>
      <c r="BI26" s="140"/>
    </row>
    <row r="27" spans="1:61" x14ac:dyDescent="0.3">
      <c r="A27" s="193" t="s">
        <v>262</v>
      </c>
      <c r="B27" s="194">
        <v>0.60000002384185791</v>
      </c>
      <c r="C27" s="194">
        <v>0.71428573131561279</v>
      </c>
      <c r="D27" s="194">
        <v>7</v>
      </c>
      <c r="E27" s="194">
        <v>0.65217393636703491</v>
      </c>
      <c r="F27" s="194">
        <v>0.53846156597137451</v>
      </c>
      <c r="G27" s="194">
        <v>13</v>
      </c>
      <c r="H27" s="194">
        <v>0.68000000715255737</v>
      </c>
      <c r="I27" s="194">
        <v>1</v>
      </c>
      <c r="J27" s="194">
        <v>3</v>
      </c>
      <c r="K27" s="194">
        <v>0.8571428656578064</v>
      </c>
      <c r="L27" s="194">
        <v>0.77777779102325439</v>
      </c>
      <c r="M27" s="194">
        <v>9</v>
      </c>
      <c r="N27" s="194">
        <v>0.78571426868438721</v>
      </c>
      <c r="O27" s="194">
        <v>0.8888888955116272</v>
      </c>
      <c r="P27" s="194">
        <v>9</v>
      </c>
      <c r="Q27" s="194">
        <v>0.83870965242385864</v>
      </c>
      <c r="R27" s="194">
        <v>0.69999998807907104</v>
      </c>
      <c r="S27" s="194">
        <v>10</v>
      </c>
      <c r="T27" s="194">
        <v>0.72413790225982666</v>
      </c>
      <c r="U27" s="194">
        <v>0.91666668653488159</v>
      </c>
      <c r="V27" s="194">
        <v>12</v>
      </c>
      <c r="W27" s="194">
        <v>0.75757575035095215</v>
      </c>
      <c r="X27" s="194">
        <v>0.4285714328289032</v>
      </c>
      <c r="Y27" s="194">
        <v>7</v>
      </c>
      <c r="Z27" s="194">
        <v>0.77419352531433105</v>
      </c>
      <c r="AA27" s="194">
        <v>0.78571426868438721</v>
      </c>
      <c r="AB27" s="194">
        <v>14</v>
      </c>
      <c r="AC27" s="194">
        <v>0.86842107772827148</v>
      </c>
      <c r="AD27" s="194">
        <v>1</v>
      </c>
      <c r="AE27" s="194">
        <v>10</v>
      </c>
      <c r="AF27" s="194">
        <v>0.89655172824859619</v>
      </c>
      <c r="AG27" s="194">
        <v>0.8571428656578064</v>
      </c>
      <c r="AH27" s="194">
        <v>14</v>
      </c>
      <c r="AI27" s="194">
        <v>0.84210526943206787</v>
      </c>
      <c r="AJ27" s="194">
        <v>0.80000001192092896</v>
      </c>
      <c r="AK27" s="194">
        <v>5</v>
      </c>
      <c r="AL27" s="140"/>
      <c r="AM27" s="140"/>
      <c r="AN27" s="140"/>
      <c r="AO27" s="140"/>
      <c r="AP27" s="140"/>
      <c r="AQ27" s="140"/>
      <c r="AR27" s="140"/>
      <c r="AS27" s="140"/>
      <c r="AT27" s="140"/>
      <c r="AU27" s="140"/>
      <c r="AV27" s="140"/>
      <c r="AW27" s="140"/>
      <c r="AX27" s="140"/>
      <c r="AY27" s="140"/>
      <c r="AZ27" s="140"/>
      <c r="BA27" s="140"/>
      <c r="BB27" s="140"/>
      <c r="BC27" s="140"/>
      <c r="BD27" s="140"/>
      <c r="BE27" s="140"/>
      <c r="BF27" s="140"/>
      <c r="BG27" s="140"/>
      <c r="BH27" s="140"/>
      <c r="BI27" s="140"/>
    </row>
    <row r="28" spans="1:61" x14ac:dyDescent="0.3">
      <c r="A28" s="193" t="s">
        <v>500</v>
      </c>
      <c r="B28" s="194">
        <v>0.83333331346511841</v>
      </c>
      <c r="C28" s="194">
        <v>1</v>
      </c>
      <c r="D28" s="194">
        <v>5</v>
      </c>
      <c r="E28" s="194">
        <v>0.88235294818878174</v>
      </c>
      <c r="F28" s="194">
        <v>0.71428573131561279</v>
      </c>
      <c r="G28" s="194">
        <v>7</v>
      </c>
      <c r="H28" s="194">
        <v>0.8571428656578064</v>
      </c>
      <c r="I28" s="194">
        <v>1</v>
      </c>
      <c r="J28" s="194">
        <v>5</v>
      </c>
      <c r="K28" s="194">
        <v>1</v>
      </c>
      <c r="L28" s="194">
        <v>1</v>
      </c>
      <c r="M28" s="194">
        <v>2</v>
      </c>
      <c r="N28" s="194">
        <v>0.875</v>
      </c>
      <c r="O28" s="194">
        <v>1</v>
      </c>
      <c r="P28" s="194">
        <v>2</v>
      </c>
      <c r="Q28" s="194">
        <v>0.80000001192092896</v>
      </c>
      <c r="R28" s="194">
        <v>0.75</v>
      </c>
      <c r="S28" s="194">
        <v>4</v>
      </c>
      <c r="T28" s="194">
        <v>0.64999997615814209</v>
      </c>
      <c r="U28" s="194">
        <v>0.75</v>
      </c>
      <c r="V28" s="194">
        <v>4</v>
      </c>
      <c r="W28" s="194">
        <v>0.58333331346511841</v>
      </c>
      <c r="X28" s="194">
        <v>0.58333331346511841</v>
      </c>
      <c r="Y28" s="194">
        <v>12</v>
      </c>
      <c r="Z28" s="194">
        <v>0.56000000238418579</v>
      </c>
      <c r="AA28" s="194">
        <v>0.5</v>
      </c>
      <c r="AB28" s="194">
        <v>8</v>
      </c>
      <c r="AC28" s="194">
        <v>0.58823531866073608</v>
      </c>
      <c r="AD28" s="194">
        <v>0.60000002384185791</v>
      </c>
      <c r="AE28" s="194">
        <v>5</v>
      </c>
      <c r="AF28" s="194">
        <v>0.69230771064758301</v>
      </c>
      <c r="AG28" s="194">
        <v>0.75</v>
      </c>
      <c r="AH28" s="194">
        <v>4</v>
      </c>
      <c r="AI28" s="194">
        <v>0.75</v>
      </c>
      <c r="AJ28" s="194">
        <v>0.75</v>
      </c>
      <c r="AK28" s="194">
        <v>4</v>
      </c>
      <c r="AL28" s="140"/>
      <c r="AM28" s="140"/>
      <c r="AN28" s="140"/>
      <c r="AO28" s="140"/>
      <c r="AP28" s="140"/>
      <c r="AQ28" s="140"/>
      <c r="AR28" s="140"/>
      <c r="AS28" s="140"/>
      <c r="AT28" s="140"/>
      <c r="AU28" s="140"/>
      <c r="AV28" s="140"/>
      <c r="AW28" s="140"/>
      <c r="AX28" s="140"/>
      <c r="AY28" s="140"/>
      <c r="AZ28" s="140"/>
      <c r="BA28" s="140"/>
      <c r="BB28" s="140"/>
      <c r="BC28" s="140"/>
      <c r="BD28" s="140"/>
      <c r="BE28" s="140"/>
      <c r="BF28" s="140"/>
      <c r="BG28" s="140"/>
      <c r="BH28" s="140"/>
      <c r="BI28" s="140"/>
    </row>
    <row r="29" spans="1:61" x14ac:dyDescent="0.3">
      <c r="A29" s="193" t="s">
        <v>454</v>
      </c>
      <c r="B29" s="194">
        <v>0.72727274894714355</v>
      </c>
      <c r="C29" s="194">
        <v>0.75</v>
      </c>
      <c r="D29" s="194">
        <v>16</v>
      </c>
      <c r="E29" s="194">
        <v>0.74285715818405151</v>
      </c>
      <c r="F29" s="194">
        <v>0.71428573131561279</v>
      </c>
      <c r="G29" s="194">
        <v>28</v>
      </c>
      <c r="H29" s="194">
        <v>0.67532467842102051</v>
      </c>
      <c r="I29" s="194">
        <v>0.76923078298568726</v>
      </c>
      <c r="J29" s="194">
        <v>26</v>
      </c>
      <c r="K29" s="194">
        <v>0.65671640634536743</v>
      </c>
      <c r="L29" s="194">
        <v>0.52173912525177002</v>
      </c>
      <c r="M29" s="194">
        <v>23</v>
      </c>
      <c r="N29" s="194">
        <v>0.65573769807815552</v>
      </c>
      <c r="O29" s="194">
        <v>0.66666668653488159</v>
      </c>
      <c r="P29" s="194">
        <v>18</v>
      </c>
      <c r="Q29" s="194">
        <v>0.75409835577011108</v>
      </c>
      <c r="R29" s="194">
        <v>0.80000001192092896</v>
      </c>
      <c r="S29" s="194">
        <v>20</v>
      </c>
      <c r="T29" s="194">
        <v>0.78571426868438721</v>
      </c>
      <c r="U29" s="194">
        <v>0.78260868787765503</v>
      </c>
      <c r="V29" s="194">
        <v>23</v>
      </c>
      <c r="W29" s="194">
        <v>0.73770493268966675</v>
      </c>
      <c r="X29" s="194">
        <v>0.77777779102325439</v>
      </c>
      <c r="Y29" s="194">
        <v>27</v>
      </c>
      <c r="Z29" s="194">
        <v>0.75438594818115234</v>
      </c>
      <c r="AA29" s="194">
        <v>0.54545456171035767</v>
      </c>
      <c r="AB29" s="194">
        <v>11</v>
      </c>
      <c r="AC29" s="194">
        <v>0.70175439119338989</v>
      </c>
      <c r="AD29" s="194">
        <v>0.84210526943206787</v>
      </c>
      <c r="AE29" s="194">
        <v>19</v>
      </c>
      <c r="AF29" s="194">
        <v>0.7195122241973877</v>
      </c>
      <c r="AG29" s="194">
        <v>0.66666668653488159</v>
      </c>
      <c r="AH29" s="194">
        <v>27</v>
      </c>
      <c r="AI29" s="194">
        <v>0.68253970146179199</v>
      </c>
      <c r="AJ29" s="194">
        <v>0.69444441795349121</v>
      </c>
      <c r="AK29" s="194">
        <v>36</v>
      </c>
      <c r="AL29" s="140"/>
      <c r="AM29" s="140"/>
      <c r="AN29" s="140"/>
      <c r="AO29" s="140"/>
      <c r="AP29" s="140"/>
      <c r="AQ29" s="140"/>
      <c r="AR29" s="140"/>
      <c r="AS29" s="140"/>
      <c r="AT29" s="140"/>
      <c r="AU29" s="140"/>
      <c r="AV29" s="140"/>
      <c r="AW29" s="140"/>
      <c r="AX29" s="140"/>
      <c r="AY29" s="140"/>
      <c r="AZ29" s="140"/>
      <c r="BA29" s="140"/>
      <c r="BB29" s="140"/>
      <c r="BC29" s="140"/>
      <c r="BD29" s="140"/>
      <c r="BE29" s="140"/>
      <c r="BF29" s="140"/>
      <c r="BG29" s="140"/>
      <c r="BH29" s="140"/>
      <c r="BI29" s="140"/>
    </row>
    <row r="30" spans="1:61" x14ac:dyDescent="0.3">
      <c r="A30" s="193" t="s">
        <v>412</v>
      </c>
      <c r="B30" s="194">
        <v>0.66666668653488159</v>
      </c>
      <c r="C30" s="194">
        <v>0.69999998807907104</v>
      </c>
      <c r="D30" s="194">
        <v>10</v>
      </c>
      <c r="E30" s="194">
        <v>0.66666668653488159</v>
      </c>
      <c r="F30" s="194">
        <v>0.60000002384185791</v>
      </c>
      <c r="G30" s="194">
        <v>5</v>
      </c>
      <c r="H30" s="194">
        <v>0.57142859697341919</v>
      </c>
      <c r="I30" s="194"/>
      <c r="J30" s="194"/>
      <c r="K30" s="194">
        <v>0.55555558204650879</v>
      </c>
      <c r="L30" s="194">
        <v>0.5</v>
      </c>
      <c r="M30" s="194">
        <v>2</v>
      </c>
      <c r="N30" s="194">
        <v>0.60000002384185791</v>
      </c>
      <c r="O30" s="194">
        <v>0.57142859697341919</v>
      </c>
      <c r="P30" s="194">
        <v>7</v>
      </c>
      <c r="Q30" s="194">
        <v>0.63636362552642822</v>
      </c>
      <c r="R30" s="194">
        <v>1</v>
      </c>
      <c r="S30" s="194">
        <v>1</v>
      </c>
      <c r="T30" s="194">
        <v>0.60000002384185791</v>
      </c>
      <c r="U30" s="194">
        <v>0.66666668653488159</v>
      </c>
      <c r="V30" s="194">
        <v>3</v>
      </c>
      <c r="W30" s="194">
        <v>0.53846156597137451</v>
      </c>
      <c r="X30" s="194">
        <v>0.5</v>
      </c>
      <c r="Y30" s="194">
        <v>6</v>
      </c>
      <c r="Z30" s="194">
        <v>0.5</v>
      </c>
      <c r="AA30" s="194">
        <v>0.5</v>
      </c>
      <c r="AB30" s="194">
        <v>4</v>
      </c>
      <c r="AC30" s="194">
        <v>0.63636362552642822</v>
      </c>
      <c r="AD30" s="194">
        <v>0.5</v>
      </c>
      <c r="AE30" s="194">
        <v>2</v>
      </c>
      <c r="AF30" s="194">
        <v>0.84210526943206787</v>
      </c>
      <c r="AG30" s="194">
        <v>0.80000001192092896</v>
      </c>
      <c r="AH30" s="194">
        <v>5</v>
      </c>
      <c r="AI30" s="194">
        <v>0.88235294818878174</v>
      </c>
      <c r="AJ30" s="194">
        <v>0.91666668653488159</v>
      </c>
      <c r="AK30" s="194">
        <v>12</v>
      </c>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row>
    <row r="31" spans="1:61" x14ac:dyDescent="0.3">
      <c r="A31" s="193" t="s">
        <v>346</v>
      </c>
      <c r="B31" s="194">
        <v>0.54054051637649536</v>
      </c>
      <c r="C31" s="194">
        <v>0.47368422150611877</v>
      </c>
      <c r="D31" s="194">
        <v>38</v>
      </c>
      <c r="E31" s="194">
        <v>0.56603771448135376</v>
      </c>
      <c r="F31" s="194">
        <v>0.6111111044883728</v>
      </c>
      <c r="G31" s="194">
        <v>36</v>
      </c>
      <c r="H31" s="194">
        <v>0.60000002384185791</v>
      </c>
      <c r="I31" s="194">
        <v>0.625</v>
      </c>
      <c r="J31" s="194">
        <v>32</v>
      </c>
      <c r="K31" s="194">
        <v>0.67256635427474976</v>
      </c>
      <c r="L31" s="194">
        <v>0.56756758689880371</v>
      </c>
      <c r="M31" s="194">
        <v>37</v>
      </c>
      <c r="N31" s="194">
        <v>0.63934427499771118</v>
      </c>
      <c r="O31" s="194">
        <v>0.79545456171035767</v>
      </c>
      <c r="P31" s="194">
        <v>44</v>
      </c>
      <c r="Q31" s="194">
        <v>0.67796611785888672</v>
      </c>
      <c r="R31" s="194">
        <v>0.53658539056777954</v>
      </c>
      <c r="S31" s="194">
        <v>41</v>
      </c>
      <c r="T31" s="194">
        <v>0.60344827175140381</v>
      </c>
      <c r="U31" s="194">
        <v>0.69696968793869019</v>
      </c>
      <c r="V31" s="194">
        <v>33</v>
      </c>
      <c r="W31" s="194">
        <v>0.71317827701568604</v>
      </c>
      <c r="X31" s="194">
        <v>0.5952380895614624</v>
      </c>
      <c r="Y31" s="194">
        <v>42</v>
      </c>
      <c r="Z31" s="194">
        <v>0.69718307256698608</v>
      </c>
      <c r="AA31" s="194">
        <v>0.81481480598449707</v>
      </c>
      <c r="AB31" s="194">
        <v>54</v>
      </c>
      <c r="AC31" s="194">
        <v>0.69620251655578613</v>
      </c>
      <c r="AD31" s="194">
        <v>0.65217393636703491</v>
      </c>
      <c r="AE31" s="194">
        <v>46</v>
      </c>
      <c r="AF31" s="194">
        <v>0.68627452850341797</v>
      </c>
      <c r="AG31" s="194">
        <v>0.62068963050842285</v>
      </c>
      <c r="AH31" s="194">
        <v>58</v>
      </c>
      <c r="AI31" s="194">
        <v>0.70093458890914917</v>
      </c>
      <c r="AJ31" s="194">
        <v>0.79591834545135498</v>
      </c>
      <c r="AK31" s="194">
        <v>49</v>
      </c>
      <c r="AL31" s="140"/>
      <c r="AM31" s="140"/>
      <c r="AN31" s="140"/>
      <c r="AO31" s="140"/>
      <c r="AP31" s="140"/>
      <c r="AQ31" s="140"/>
      <c r="AR31" s="140"/>
      <c r="AS31" s="140"/>
      <c r="AT31" s="140"/>
      <c r="AU31" s="140"/>
      <c r="AV31" s="140"/>
      <c r="AW31" s="140"/>
      <c r="AX31" s="140"/>
      <c r="AY31" s="140"/>
      <c r="AZ31" s="140"/>
      <c r="BA31" s="140"/>
      <c r="BB31" s="140"/>
      <c r="BC31" s="140"/>
      <c r="BD31" s="140"/>
      <c r="BE31" s="140"/>
      <c r="BF31" s="140"/>
      <c r="BG31" s="140"/>
      <c r="BH31" s="140"/>
      <c r="BI31" s="140"/>
    </row>
    <row r="32" spans="1:61" x14ac:dyDescent="0.3">
      <c r="A32" s="193" t="s">
        <v>352</v>
      </c>
      <c r="B32" s="194">
        <v>0.17543859779834747</v>
      </c>
      <c r="C32" s="194">
        <v>0.1607142835855484</v>
      </c>
      <c r="D32" s="194">
        <v>56</v>
      </c>
      <c r="E32" s="194">
        <v>0.16463415324687958</v>
      </c>
      <c r="F32" s="194">
        <v>0.18965516984462738</v>
      </c>
      <c r="G32" s="194">
        <v>58</v>
      </c>
      <c r="H32" s="194">
        <v>0.17499999701976776</v>
      </c>
      <c r="I32" s="194">
        <v>0.14000000059604645</v>
      </c>
      <c r="J32" s="194">
        <v>50</v>
      </c>
      <c r="K32" s="194">
        <v>0.19333332777023315</v>
      </c>
      <c r="L32" s="194">
        <v>0.19230769574642181</v>
      </c>
      <c r="M32" s="194">
        <v>52</v>
      </c>
      <c r="N32" s="194">
        <v>0.28776979446411133</v>
      </c>
      <c r="O32" s="194">
        <v>0.25</v>
      </c>
      <c r="P32" s="194">
        <v>48</v>
      </c>
      <c r="Q32" s="194">
        <v>0.45161288976669312</v>
      </c>
      <c r="R32" s="194">
        <v>0.46153846383094788</v>
      </c>
      <c r="S32" s="194">
        <v>39</v>
      </c>
      <c r="T32" s="194">
        <v>0.58620691299438477</v>
      </c>
      <c r="U32" s="194">
        <v>0.70270270109176636</v>
      </c>
      <c r="V32" s="194">
        <v>37</v>
      </c>
      <c r="W32" s="194">
        <v>0.63636362552642822</v>
      </c>
      <c r="X32" s="194">
        <v>0.60000002384185791</v>
      </c>
      <c r="Y32" s="194">
        <v>40</v>
      </c>
      <c r="Z32" s="194">
        <v>0.60431653261184692</v>
      </c>
      <c r="AA32" s="194">
        <v>0.61363637447357178</v>
      </c>
      <c r="AB32" s="194">
        <v>44</v>
      </c>
      <c r="AC32" s="194">
        <v>0.62857145071029663</v>
      </c>
      <c r="AD32" s="194">
        <v>0.60000002384185791</v>
      </c>
      <c r="AE32" s="194">
        <v>55</v>
      </c>
      <c r="AF32" s="194">
        <v>0.62820512056350708</v>
      </c>
      <c r="AG32" s="194">
        <v>0.68292683362960815</v>
      </c>
      <c r="AH32" s="194">
        <v>41</v>
      </c>
      <c r="AI32" s="194">
        <v>0.64356434345245361</v>
      </c>
      <c r="AJ32" s="194">
        <v>0.61666667461395264</v>
      </c>
      <c r="AK32" s="194">
        <v>60</v>
      </c>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row>
    <row r="33" spans="1:61" x14ac:dyDescent="0.3">
      <c r="A33" s="193" t="s">
        <v>446</v>
      </c>
      <c r="B33" s="194">
        <v>0.64814811944961548</v>
      </c>
      <c r="C33" s="194">
        <v>0.65517240762710571</v>
      </c>
      <c r="D33" s="194">
        <v>29</v>
      </c>
      <c r="E33" s="194">
        <v>0.58666664361953735</v>
      </c>
      <c r="F33" s="194">
        <v>0.63999998569488525</v>
      </c>
      <c r="G33" s="194">
        <v>25</v>
      </c>
      <c r="H33" s="194">
        <v>0.53846156597137451</v>
      </c>
      <c r="I33" s="194">
        <v>0.4285714328289032</v>
      </c>
      <c r="J33" s="194">
        <v>21</v>
      </c>
      <c r="K33" s="194">
        <v>0.37878787517547607</v>
      </c>
      <c r="L33" s="194">
        <v>0.52631580829620361</v>
      </c>
      <c r="M33" s="194">
        <v>19</v>
      </c>
      <c r="N33" s="194">
        <v>0.37681159377098083</v>
      </c>
      <c r="O33" s="194">
        <v>0.23076923191547394</v>
      </c>
      <c r="P33" s="194">
        <v>26</v>
      </c>
      <c r="Q33" s="194">
        <v>0.33766233921051025</v>
      </c>
      <c r="R33" s="194">
        <v>0.4166666567325592</v>
      </c>
      <c r="S33" s="194">
        <v>24</v>
      </c>
      <c r="T33" s="194">
        <v>0.37037035822868347</v>
      </c>
      <c r="U33" s="194">
        <v>0.37037035822868347</v>
      </c>
      <c r="V33" s="194">
        <v>27</v>
      </c>
      <c r="W33" s="194">
        <v>0.32499998807907104</v>
      </c>
      <c r="X33" s="194">
        <v>0.3333333432674408</v>
      </c>
      <c r="Y33" s="194">
        <v>30</v>
      </c>
      <c r="Z33" s="194">
        <v>0.40506330132484436</v>
      </c>
      <c r="AA33" s="194">
        <v>0.26086956262588501</v>
      </c>
      <c r="AB33" s="194">
        <v>23</v>
      </c>
      <c r="AC33" s="194">
        <v>0.39473685622215271</v>
      </c>
      <c r="AD33" s="194">
        <v>0.61538463830947876</v>
      </c>
      <c r="AE33" s="194">
        <v>26</v>
      </c>
      <c r="AF33" s="194">
        <v>0.38372093439102173</v>
      </c>
      <c r="AG33" s="194">
        <v>0.29629629850387573</v>
      </c>
      <c r="AH33" s="194">
        <v>27</v>
      </c>
      <c r="AI33" s="194">
        <v>0.28333333134651184</v>
      </c>
      <c r="AJ33" s="194">
        <v>0.27272728085517883</v>
      </c>
      <c r="AK33" s="194">
        <v>33</v>
      </c>
      <c r="AL33" s="140"/>
      <c r="AM33" s="140"/>
      <c r="AN33" s="140"/>
      <c r="AO33" s="140"/>
      <c r="AP33" s="140"/>
      <c r="AQ33" s="140"/>
      <c r="AR33" s="140"/>
      <c r="AS33" s="140"/>
      <c r="AT33" s="140"/>
      <c r="AU33" s="140"/>
      <c r="AV33" s="140"/>
      <c r="AW33" s="140"/>
      <c r="AX33" s="140"/>
      <c r="AY33" s="140"/>
      <c r="AZ33" s="140"/>
      <c r="BA33" s="140"/>
      <c r="BB33" s="140"/>
      <c r="BC33" s="140"/>
      <c r="BD33" s="140"/>
      <c r="BE33" s="140"/>
      <c r="BF33" s="140"/>
      <c r="BG33" s="140"/>
      <c r="BH33" s="140"/>
      <c r="BI33" s="140"/>
    </row>
    <row r="34" spans="1:61" x14ac:dyDescent="0.3">
      <c r="A34" s="193" t="s">
        <v>396</v>
      </c>
      <c r="B34" s="194">
        <v>0.5</v>
      </c>
      <c r="C34" s="194">
        <v>0.3928571343421936</v>
      </c>
      <c r="D34" s="194">
        <v>28</v>
      </c>
      <c r="E34" s="194">
        <v>0.60919541120529175</v>
      </c>
      <c r="F34" s="194">
        <v>0.64999997615814209</v>
      </c>
      <c r="G34" s="194">
        <v>20</v>
      </c>
      <c r="H34" s="194">
        <v>0.67857140302658081</v>
      </c>
      <c r="I34" s="194">
        <v>0.74358975887298584</v>
      </c>
      <c r="J34" s="194">
        <v>39</v>
      </c>
      <c r="K34" s="194">
        <v>0.73333334922790527</v>
      </c>
      <c r="L34" s="194">
        <v>0.60000002384185791</v>
      </c>
      <c r="M34" s="194">
        <v>25</v>
      </c>
      <c r="N34" s="194">
        <v>0.72972971200942993</v>
      </c>
      <c r="O34" s="194">
        <v>0.8461538553237915</v>
      </c>
      <c r="P34" s="194">
        <v>26</v>
      </c>
      <c r="Q34" s="194">
        <v>0.80000001192092896</v>
      </c>
      <c r="R34" s="194">
        <v>0.73913043737411499</v>
      </c>
      <c r="S34" s="194">
        <v>23</v>
      </c>
      <c r="T34" s="194">
        <v>0.73195874691009521</v>
      </c>
      <c r="U34" s="194">
        <v>0.80769228935241699</v>
      </c>
      <c r="V34" s="194">
        <v>26</v>
      </c>
      <c r="W34" s="194">
        <v>0.6822429895401001</v>
      </c>
      <c r="X34" s="194">
        <v>0.6875</v>
      </c>
      <c r="Y34" s="194">
        <v>48</v>
      </c>
      <c r="Z34" s="194">
        <v>0.67521369457244873</v>
      </c>
      <c r="AA34" s="194">
        <v>0.57575756311416626</v>
      </c>
      <c r="AB34" s="194">
        <v>33</v>
      </c>
      <c r="AC34" s="194">
        <v>0.68686866760253906</v>
      </c>
      <c r="AD34" s="194">
        <v>0.75</v>
      </c>
      <c r="AE34" s="194">
        <v>36</v>
      </c>
      <c r="AF34" s="194">
        <v>0.70192307233810425</v>
      </c>
      <c r="AG34" s="194">
        <v>0.73333334922790527</v>
      </c>
      <c r="AH34" s="194">
        <v>30</v>
      </c>
      <c r="AI34" s="194">
        <v>0.67647057771682739</v>
      </c>
      <c r="AJ34" s="194">
        <v>0.63157892227172852</v>
      </c>
      <c r="AK34" s="194">
        <v>38</v>
      </c>
      <c r="AL34" s="140"/>
      <c r="AM34" s="140"/>
      <c r="AN34" s="140"/>
      <c r="AO34" s="140"/>
      <c r="AP34" s="140"/>
      <c r="AQ34" s="140"/>
      <c r="AR34" s="140"/>
      <c r="AS34" s="140"/>
      <c r="AT34" s="140"/>
      <c r="AU34" s="140"/>
      <c r="AV34" s="140"/>
      <c r="AW34" s="140"/>
      <c r="AX34" s="140"/>
      <c r="AY34" s="140"/>
      <c r="AZ34" s="140"/>
      <c r="BA34" s="140"/>
      <c r="BB34" s="140"/>
      <c r="BC34" s="140"/>
      <c r="BD34" s="140"/>
      <c r="BE34" s="140"/>
      <c r="BF34" s="140"/>
      <c r="BG34" s="140"/>
      <c r="BH34" s="140"/>
      <c r="BI34" s="140"/>
    </row>
    <row r="35" spans="1:61" x14ac:dyDescent="0.3">
      <c r="A35" s="193" t="s">
        <v>272</v>
      </c>
      <c r="B35" s="194">
        <v>0.5</v>
      </c>
      <c r="C35" s="194">
        <v>0.28571429848670959</v>
      </c>
      <c r="D35" s="194">
        <v>7</v>
      </c>
      <c r="E35" s="194">
        <v>0.48648649454116821</v>
      </c>
      <c r="F35" s="194">
        <v>0.63636362552642822</v>
      </c>
      <c r="G35" s="194">
        <v>11</v>
      </c>
      <c r="H35" s="194">
        <v>0.56410259008407593</v>
      </c>
      <c r="I35" s="194">
        <v>0.47368422150611877</v>
      </c>
      <c r="J35" s="194">
        <v>19</v>
      </c>
      <c r="K35" s="194">
        <v>0.55000001192092896</v>
      </c>
      <c r="L35" s="194">
        <v>0.66666668653488159</v>
      </c>
      <c r="M35" s="194">
        <v>9</v>
      </c>
      <c r="N35" s="194">
        <v>0.5952380895614624</v>
      </c>
      <c r="O35" s="194">
        <v>0.58333331346511841</v>
      </c>
      <c r="P35" s="194">
        <v>12</v>
      </c>
      <c r="Q35" s="194">
        <v>0.55357140302658081</v>
      </c>
      <c r="R35" s="194">
        <v>0.57142859697341919</v>
      </c>
      <c r="S35" s="194">
        <v>21</v>
      </c>
      <c r="T35" s="194">
        <v>0.52380955219268799</v>
      </c>
      <c r="U35" s="194">
        <v>0.52173912525177002</v>
      </c>
      <c r="V35" s="194">
        <v>23</v>
      </c>
      <c r="W35" s="194">
        <v>0.62162160873413086</v>
      </c>
      <c r="X35" s="194">
        <v>0.47368422150611877</v>
      </c>
      <c r="Y35" s="194">
        <v>19</v>
      </c>
      <c r="Z35" s="194">
        <v>0.64102566242218018</v>
      </c>
      <c r="AA35" s="194">
        <v>0.78125</v>
      </c>
      <c r="AB35" s="194">
        <v>32</v>
      </c>
      <c r="AC35" s="194">
        <v>0.68965518474578857</v>
      </c>
      <c r="AD35" s="194">
        <v>0.59259259700775146</v>
      </c>
      <c r="AE35" s="194">
        <v>27</v>
      </c>
      <c r="AF35" s="194">
        <v>0.625</v>
      </c>
      <c r="AG35" s="194">
        <v>0.67857140302658081</v>
      </c>
      <c r="AH35" s="194">
        <v>28</v>
      </c>
      <c r="AI35" s="194">
        <v>0.63768118619918823</v>
      </c>
      <c r="AJ35" s="194">
        <v>0.60975611209869385</v>
      </c>
      <c r="AK35" s="194">
        <v>41</v>
      </c>
      <c r="AL35" s="140"/>
      <c r="AM35" s="140"/>
      <c r="AN35" s="140"/>
      <c r="AO35" s="140"/>
      <c r="AP35" s="140"/>
      <c r="AQ35" s="140"/>
      <c r="AR35" s="140"/>
      <c r="AS35" s="140"/>
      <c r="AT35" s="140"/>
      <c r="AU35" s="140"/>
      <c r="AV35" s="140"/>
      <c r="AW35" s="140"/>
      <c r="AX35" s="140"/>
      <c r="AY35" s="140"/>
      <c r="AZ35" s="140"/>
      <c r="BA35" s="140"/>
      <c r="BB35" s="140"/>
      <c r="BC35" s="140"/>
      <c r="BD35" s="140"/>
      <c r="BE35" s="140"/>
      <c r="BF35" s="140"/>
      <c r="BG35" s="140"/>
      <c r="BH35" s="140"/>
      <c r="BI35" s="140"/>
    </row>
    <row r="36" spans="1:61" x14ac:dyDescent="0.3">
      <c r="A36" s="193" t="s">
        <v>276</v>
      </c>
      <c r="B36" s="194">
        <v>0.60000002384185791</v>
      </c>
      <c r="C36" s="194">
        <v>0.60000002384185791</v>
      </c>
      <c r="D36" s="194">
        <v>15</v>
      </c>
      <c r="E36" s="194">
        <v>0.5625</v>
      </c>
      <c r="F36" s="194">
        <v>0.60000002384185791</v>
      </c>
      <c r="G36" s="194">
        <v>10</v>
      </c>
      <c r="H36" s="194">
        <v>0.3928571343421936</v>
      </c>
      <c r="I36" s="194">
        <v>0.4285714328289032</v>
      </c>
      <c r="J36" s="194">
        <v>7</v>
      </c>
      <c r="K36" s="194">
        <v>0.28571429848670959</v>
      </c>
      <c r="L36" s="194">
        <v>0.18181818723678589</v>
      </c>
      <c r="M36" s="194">
        <v>11</v>
      </c>
      <c r="N36" s="194">
        <v>0.40625</v>
      </c>
      <c r="O36" s="194">
        <v>0.30000001192092896</v>
      </c>
      <c r="P36" s="194">
        <v>10</v>
      </c>
      <c r="Q36" s="194">
        <v>0.56666666269302368</v>
      </c>
      <c r="R36" s="194">
        <v>0.72727274894714355</v>
      </c>
      <c r="S36" s="194">
        <v>11</v>
      </c>
      <c r="T36" s="194">
        <v>0.71428573131561279</v>
      </c>
      <c r="U36" s="194">
        <v>0.66666668653488159</v>
      </c>
      <c r="V36" s="194">
        <v>9</v>
      </c>
      <c r="W36" s="194">
        <v>0.6875</v>
      </c>
      <c r="X36" s="194">
        <v>0.75</v>
      </c>
      <c r="Y36" s="194">
        <v>8</v>
      </c>
      <c r="Z36" s="194">
        <v>0.62162160873413086</v>
      </c>
      <c r="AA36" s="194">
        <v>0.66666668653488159</v>
      </c>
      <c r="AB36" s="194">
        <v>15</v>
      </c>
      <c r="AC36" s="194">
        <v>0.67307692766189575</v>
      </c>
      <c r="AD36" s="194">
        <v>0.5</v>
      </c>
      <c r="AE36" s="194">
        <v>14</v>
      </c>
      <c r="AF36" s="194">
        <v>0.70588237047195435</v>
      </c>
      <c r="AG36" s="194">
        <v>0.78260868787765503</v>
      </c>
      <c r="AH36" s="194">
        <v>23</v>
      </c>
      <c r="AI36" s="194">
        <v>0.78378379344940186</v>
      </c>
      <c r="AJ36" s="194">
        <v>0.78571426868438721</v>
      </c>
      <c r="AK36" s="194">
        <v>14</v>
      </c>
      <c r="AL36" s="140"/>
      <c r="AM36" s="140"/>
      <c r="AN36" s="140"/>
      <c r="AO36" s="140"/>
      <c r="AP36" s="140"/>
      <c r="AQ36" s="140"/>
      <c r="AR36" s="140"/>
      <c r="AS36" s="140"/>
      <c r="AT36" s="140"/>
      <c r="AU36" s="140"/>
      <c r="AV36" s="140"/>
      <c r="AW36" s="140"/>
      <c r="AX36" s="140"/>
      <c r="AY36" s="140"/>
      <c r="AZ36" s="140"/>
      <c r="BA36" s="140"/>
      <c r="BB36" s="140"/>
      <c r="BC36" s="140"/>
      <c r="BD36" s="140"/>
      <c r="BE36" s="140"/>
      <c r="BF36" s="140"/>
      <c r="BG36" s="140"/>
      <c r="BH36" s="140"/>
      <c r="BI36" s="140"/>
    </row>
    <row r="37" spans="1:61" x14ac:dyDescent="0.3">
      <c r="A37" s="193" t="s">
        <v>502</v>
      </c>
      <c r="B37" s="194">
        <v>0.39393940567970276</v>
      </c>
      <c r="C37" s="194">
        <v>0.4444444477558136</v>
      </c>
      <c r="D37" s="194">
        <v>18</v>
      </c>
      <c r="E37" s="194">
        <v>0.37735849618911743</v>
      </c>
      <c r="F37" s="194">
        <v>0.3333333432674408</v>
      </c>
      <c r="G37" s="194">
        <v>15</v>
      </c>
      <c r="H37" s="194">
        <v>0.39024388790130615</v>
      </c>
      <c r="I37" s="194">
        <v>0.34999999403953552</v>
      </c>
      <c r="J37" s="194">
        <v>20</v>
      </c>
      <c r="K37" s="194">
        <v>0.46875</v>
      </c>
      <c r="L37" s="194">
        <v>0.66666668653488159</v>
      </c>
      <c r="M37" s="194">
        <v>6</v>
      </c>
      <c r="N37" s="194">
        <v>0.66666668653488159</v>
      </c>
      <c r="O37" s="194">
        <v>0.66666668653488159</v>
      </c>
      <c r="P37" s="194">
        <v>6</v>
      </c>
      <c r="Q37" s="194">
        <v>0.62962961196899414</v>
      </c>
      <c r="R37" s="194">
        <v>0.66666668653488159</v>
      </c>
      <c r="S37" s="194">
        <v>9</v>
      </c>
      <c r="T37" s="194">
        <v>0.67741936445236206</v>
      </c>
      <c r="U37" s="194">
        <v>0.58333331346511841</v>
      </c>
      <c r="V37" s="194">
        <v>12</v>
      </c>
      <c r="W37" s="194">
        <v>0.75</v>
      </c>
      <c r="X37" s="194">
        <v>0.80000001192092896</v>
      </c>
      <c r="Y37" s="194">
        <v>10</v>
      </c>
      <c r="Z37" s="194">
        <v>0.80000001192092896</v>
      </c>
      <c r="AA37" s="194">
        <v>0.89999997615814209</v>
      </c>
      <c r="AB37" s="194">
        <v>10</v>
      </c>
      <c r="AC37" s="194">
        <v>0.73333334922790527</v>
      </c>
      <c r="AD37" s="194">
        <v>0.69999998807907104</v>
      </c>
      <c r="AE37" s="194">
        <v>10</v>
      </c>
      <c r="AF37" s="194">
        <v>0.71428573131561279</v>
      </c>
      <c r="AG37" s="194">
        <v>0.60000002384185791</v>
      </c>
      <c r="AH37" s="194">
        <v>10</v>
      </c>
      <c r="AI37" s="194">
        <v>0.72222220897674561</v>
      </c>
      <c r="AJ37" s="194">
        <v>0.875</v>
      </c>
      <c r="AK37" s="194">
        <v>8</v>
      </c>
      <c r="AL37" s="140"/>
      <c r="AM37" s="140"/>
      <c r="AN37" s="140"/>
      <c r="AO37" s="140"/>
      <c r="AP37" s="140"/>
      <c r="AQ37" s="140"/>
      <c r="AR37" s="140"/>
      <c r="AS37" s="140"/>
      <c r="AT37" s="140"/>
      <c r="AU37" s="140"/>
      <c r="AV37" s="140"/>
      <c r="AW37" s="140"/>
      <c r="AX37" s="140"/>
      <c r="AY37" s="140"/>
      <c r="AZ37" s="140"/>
      <c r="BA37" s="140"/>
      <c r="BB37" s="140"/>
      <c r="BC37" s="140"/>
      <c r="BD37" s="140"/>
      <c r="BE37" s="140"/>
      <c r="BF37" s="140"/>
      <c r="BG37" s="140"/>
      <c r="BH37" s="140"/>
      <c r="BI37" s="140"/>
    </row>
    <row r="38" spans="1:61" x14ac:dyDescent="0.3">
      <c r="A38" s="193" t="s">
        <v>314</v>
      </c>
      <c r="B38" s="194">
        <v>0.8125</v>
      </c>
      <c r="C38" s="194">
        <v>0.77777779102325439</v>
      </c>
      <c r="D38" s="194">
        <v>9</v>
      </c>
      <c r="E38" s="194">
        <v>0.88235294818878174</v>
      </c>
      <c r="F38" s="194">
        <v>0.8571428656578064</v>
      </c>
      <c r="G38" s="194">
        <v>7</v>
      </c>
      <c r="H38" s="194">
        <v>0.9189189076423645</v>
      </c>
      <c r="I38" s="194">
        <v>0.94444441795349121</v>
      </c>
      <c r="J38" s="194">
        <v>18</v>
      </c>
      <c r="K38" s="194">
        <v>0.89999997615814209</v>
      </c>
      <c r="L38" s="194">
        <v>0.91666668653488159</v>
      </c>
      <c r="M38" s="194">
        <v>12</v>
      </c>
      <c r="N38" s="194">
        <v>0.90322577953338623</v>
      </c>
      <c r="O38" s="194">
        <v>0.80000001192092896</v>
      </c>
      <c r="P38" s="194">
        <v>10</v>
      </c>
      <c r="Q38" s="194">
        <v>0.92857140302658081</v>
      </c>
      <c r="R38" s="194">
        <v>1</v>
      </c>
      <c r="S38" s="194">
        <v>9</v>
      </c>
      <c r="T38" s="194">
        <v>0.96774190664291382</v>
      </c>
      <c r="U38" s="194">
        <v>1</v>
      </c>
      <c r="V38" s="194">
        <v>9</v>
      </c>
      <c r="W38" s="194">
        <v>0.93333333730697632</v>
      </c>
      <c r="X38" s="194">
        <v>0.92307692766189575</v>
      </c>
      <c r="Y38" s="194">
        <v>13</v>
      </c>
      <c r="Z38" s="194">
        <v>0.90625</v>
      </c>
      <c r="AA38" s="194">
        <v>0.875</v>
      </c>
      <c r="AB38" s="194">
        <v>8</v>
      </c>
      <c r="AC38" s="194">
        <v>0.92857140302658081</v>
      </c>
      <c r="AD38" s="194">
        <v>0.90909093618392944</v>
      </c>
      <c r="AE38" s="194">
        <v>11</v>
      </c>
      <c r="AF38" s="194">
        <v>0.92307692766189575</v>
      </c>
      <c r="AG38" s="194">
        <v>1</v>
      </c>
      <c r="AH38" s="194">
        <v>9</v>
      </c>
      <c r="AI38" s="194">
        <v>0.92857140302658081</v>
      </c>
      <c r="AJ38" s="194">
        <v>0.89473682641983032</v>
      </c>
      <c r="AK38" s="194">
        <v>19</v>
      </c>
      <c r="AL38" s="140"/>
      <c r="AM38" s="140"/>
      <c r="AN38" s="140"/>
      <c r="AO38" s="140"/>
      <c r="AP38" s="140"/>
      <c r="AQ38" s="140"/>
      <c r="AR38" s="140"/>
      <c r="AS38" s="140"/>
      <c r="AT38" s="140"/>
      <c r="AU38" s="140"/>
      <c r="AV38" s="140"/>
      <c r="AW38" s="140"/>
      <c r="AX38" s="140"/>
      <c r="AY38" s="140"/>
      <c r="AZ38" s="140"/>
      <c r="BA38" s="140"/>
      <c r="BB38" s="140"/>
      <c r="BC38" s="140"/>
      <c r="BD38" s="140"/>
      <c r="BE38" s="140"/>
      <c r="BF38" s="140"/>
      <c r="BG38" s="140"/>
      <c r="BH38" s="140"/>
      <c r="BI38" s="140"/>
    </row>
    <row r="39" spans="1:61" x14ac:dyDescent="0.3">
      <c r="A39" s="193" t="s">
        <v>425</v>
      </c>
      <c r="B39" s="194">
        <v>0.64102566242218018</v>
      </c>
      <c r="C39" s="194">
        <v>0.71428573131561279</v>
      </c>
      <c r="D39" s="194">
        <v>21</v>
      </c>
      <c r="E39" s="194">
        <v>0.65957444906234741</v>
      </c>
      <c r="F39" s="194">
        <v>0.55555558204650879</v>
      </c>
      <c r="G39" s="194">
        <v>18</v>
      </c>
      <c r="H39" s="194">
        <v>0.53488373756408691</v>
      </c>
      <c r="I39" s="194">
        <v>0.75</v>
      </c>
      <c r="J39" s="194">
        <v>8</v>
      </c>
      <c r="K39" s="194">
        <v>0.57894736528396606</v>
      </c>
      <c r="L39" s="194">
        <v>0.4117647111415863</v>
      </c>
      <c r="M39" s="194">
        <v>17</v>
      </c>
      <c r="N39" s="194">
        <v>0.57999998331069946</v>
      </c>
      <c r="O39" s="194">
        <v>0.69230771064758301</v>
      </c>
      <c r="P39" s="194">
        <v>13</v>
      </c>
      <c r="Q39" s="194">
        <v>0.63793104887008667</v>
      </c>
      <c r="R39" s="194">
        <v>0.64999997615814209</v>
      </c>
      <c r="S39" s="194">
        <v>20</v>
      </c>
      <c r="T39" s="194">
        <v>0.60975611209869385</v>
      </c>
      <c r="U39" s="194">
        <v>0.60000002384185791</v>
      </c>
      <c r="V39" s="194">
        <v>25</v>
      </c>
      <c r="W39" s="194">
        <v>0.62650603055953979</v>
      </c>
      <c r="X39" s="194">
        <v>0.59459459781646729</v>
      </c>
      <c r="Y39" s="194">
        <v>37</v>
      </c>
      <c r="Z39" s="194">
        <v>0.6419752836227417</v>
      </c>
      <c r="AA39" s="194">
        <v>0.71428573131561279</v>
      </c>
      <c r="AB39" s="194">
        <v>21</v>
      </c>
      <c r="AC39" s="194">
        <v>0.7014925479888916</v>
      </c>
      <c r="AD39" s="194">
        <v>0.65217393636703491</v>
      </c>
      <c r="AE39" s="194">
        <v>23</v>
      </c>
      <c r="AF39" s="194">
        <v>0.61538463830947876</v>
      </c>
      <c r="AG39" s="194">
        <v>0.73913043737411499</v>
      </c>
      <c r="AH39" s="194">
        <v>23</v>
      </c>
      <c r="AI39" s="194">
        <v>0.60000002384185791</v>
      </c>
      <c r="AJ39" s="194">
        <v>0.5</v>
      </c>
      <c r="AK39" s="194">
        <v>32</v>
      </c>
      <c r="AL39" s="140"/>
      <c r="AM39" s="140"/>
      <c r="AN39" s="140"/>
      <c r="AO39" s="140"/>
      <c r="AP39" s="140"/>
      <c r="AQ39" s="140"/>
      <c r="AR39" s="140"/>
      <c r="AS39" s="140"/>
      <c r="AT39" s="140"/>
      <c r="AU39" s="140"/>
      <c r="AV39" s="140"/>
      <c r="AW39" s="140"/>
      <c r="AX39" s="140"/>
      <c r="AY39" s="140"/>
      <c r="AZ39" s="140"/>
      <c r="BA39" s="140"/>
      <c r="BB39" s="140"/>
      <c r="BC39" s="140"/>
      <c r="BD39" s="140"/>
      <c r="BE39" s="140"/>
      <c r="BF39" s="140"/>
      <c r="BG39" s="140"/>
      <c r="BH39" s="140"/>
      <c r="BI39" s="140"/>
    </row>
    <row r="40" spans="1:61" x14ac:dyDescent="0.3">
      <c r="A40" s="193" t="s">
        <v>380</v>
      </c>
      <c r="B40" s="194">
        <v>0.46153846383094788</v>
      </c>
      <c r="C40" s="194">
        <v>0.66666668653488159</v>
      </c>
      <c r="D40" s="194">
        <v>6</v>
      </c>
      <c r="E40" s="194">
        <v>0.47058823704719543</v>
      </c>
      <c r="F40" s="194">
        <v>0.28571429848670959</v>
      </c>
      <c r="G40" s="194">
        <v>7</v>
      </c>
      <c r="H40" s="194">
        <v>0.30769231915473938</v>
      </c>
      <c r="I40" s="194">
        <v>0.5</v>
      </c>
      <c r="J40" s="194">
        <v>4</v>
      </c>
      <c r="K40" s="194">
        <v>0.4444444477558136</v>
      </c>
      <c r="L40" s="194">
        <v>0</v>
      </c>
      <c r="M40" s="194">
        <v>2</v>
      </c>
      <c r="N40" s="194">
        <v>0.40000000596046448</v>
      </c>
      <c r="O40" s="194">
        <v>0.66666668653488159</v>
      </c>
      <c r="P40" s="194">
        <v>3</v>
      </c>
      <c r="Q40" s="194">
        <v>0.75</v>
      </c>
      <c r="R40" s="194"/>
      <c r="S40" s="194"/>
      <c r="T40" s="194">
        <v>0.78571426868438721</v>
      </c>
      <c r="U40" s="194">
        <v>0.77777779102325439</v>
      </c>
      <c r="V40" s="194">
        <v>9</v>
      </c>
      <c r="W40" s="194">
        <v>0.75</v>
      </c>
      <c r="X40" s="194">
        <v>0.80000001192092896</v>
      </c>
      <c r="Y40" s="194">
        <v>5</v>
      </c>
      <c r="Z40" s="194">
        <v>0.69999998807907104</v>
      </c>
      <c r="AA40" s="194">
        <v>0.66666668653488159</v>
      </c>
      <c r="AB40" s="194">
        <v>6</v>
      </c>
      <c r="AC40" s="194">
        <v>0.63157892227172852</v>
      </c>
      <c r="AD40" s="194">
        <v>0.66666668653488159</v>
      </c>
      <c r="AE40" s="194">
        <v>9</v>
      </c>
      <c r="AF40" s="194">
        <v>0.54166668653488159</v>
      </c>
      <c r="AG40" s="194">
        <v>0.5</v>
      </c>
      <c r="AH40" s="194">
        <v>4</v>
      </c>
      <c r="AI40" s="194">
        <v>0.46666666865348816</v>
      </c>
      <c r="AJ40" s="194">
        <v>0.45454546809196472</v>
      </c>
      <c r="AK40" s="194">
        <v>11</v>
      </c>
      <c r="AL40" s="140"/>
      <c r="AM40" s="140"/>
      <c r="AN40" s="140"/>
      <c r="AO40" s="140"/>
      <c r="AP40" s="140"/>
      <c r="AQ40" s="140"/>
      <c r="AR40" s="140"/>
      <c r="AS40" s="140"/>
      <c r="AT40" s="140"/>
      <c r="AU40" s="140"/>
      <c r="AV40" s="140"/>
      <c r="AW40" s="140"/>
      <c r="AX40" s="140"/>
      <c r="AY40" s="140"/>
      <c r="AZ40" s="140"/>
      <c r="BA40" s="140"/>
      <c r="BB40" s="140"/>
      <c r="BC40" s="140"/>
      <c r="BD40" s="140"/>
      <c r="BE40" s="140"/>
      <c r="BF40" s="140"/>
      <c r="BG40" s="140"/>
      <c r="BH40" s="140"/>
      <c r="BI40" s="140"/>
    </row>
    <row r="41" spans="1:61" x14ac:dyDescent="0.3">
      <c r="A41" s="193" t="s">
        <v>542</v>
      </c>
      <c r="B41" s="194">
        <v>0.4117647111415863</v>
      </c>
      <c r="C41" s="194">
        <v>0.25</v>
      </c>
      <c r="D41" s="194">
        <v>12</v>
      </c>
      <c r="E41" s="194">
        <v>0.45454546809196472</v>
      </c>
      <c r="F41" s="194">
        <v>0.80000001192092896</v>
      </c>
      <c r="G41" s="194">
        <v>5</v>
      </c>
      <c r="H41" s="194">
        <v>0.70588237047195435</v>
      </c>
      <c r="I41" s="194">
        <v>0.60000002384185791</v>
      </c>
      <c r="J41" s="194">
        <v>5</v>
      </c>
      <c r="K41" s="194">
        <v>0.52941179275512695</v>
      </c>
      <c r="L41" s="194">
        <v>0.71428573131561279</v>
      </c>
      <c r="M41" s="194">
        <v>7</v>
      </c>
      <c r="N41" s="194">
        <v>0.39130434393882751</v>
      </c>
      <c r="O41" s="194">
        <v>0.20000000298023224</v>
      </c>
      <c r="P41" s="194">
        <v>5</v>
      </c>
      <c r="Q41" s="194">
        <v>0.30769231915473938</v>
      </c>
      <c r="R41" s="194">
        <v>0.27272728085517883</v>
      </c>
      <c r="S41" s="194">
        <v>11</v>
      </c>
      <c r="T41" s="194">
        <v>0.38461539149284363</v>
      </c>
      <c r="U41" s="194">
        <v>0.40000000596046448</v>
      </c>
      <c r="V41" s="194">
        <v>10</v>
      </c>
      <c r="W41" s="194">
        <v>0.380952388048172</v>
      </c>
      <c r="X41" s="194">
        <v>0.60000002384185791</v>
      </c>
      <c r="Y41" s="194">
        <v>5</v>
      </c>
      <c r="Z41" s="194">
        <v>0.31578946113586426</v>
      </c>
      <c r="AA41" s="194">
        <v>0.1666666716337204</v>
      </c>
      <c r="AB41" s="194">
        <v>6</v>
      </c>
      <c r="AC41" s="194">
        <v>0.39130434393882751</v>
      </c>
      <c r="AD41" s="194">
        <v>0.25</v>
      </c>
      <c r="AE41" s="194">
        <v>8</v>
      </c>
      <c r="AF41" s="194">
        <v>0.60000002384185791</v>
      </c>
      <c r="AG41" s="194">
        <v>0.66666668653488159</v>
      </c>
      <c r="AH41" s="194">
        <v>9</v>
      </c>
      <c r="AI41" s="194">
        <v>0.76470589637756348</v>
      </c>
      <c r="AJ41" s="194">
        <v>0.875</v>
      </c>
      <c r="AK41" s="194">
        <v>8</v>
      </c>
      <c r="AL41" s="140"/>
      <c r="AM41" s="140"/>
      <c r="AN41" s="140"/>
      <c r="AO41" s="140"/>
      <c r="AP41" s="140"/>
      <c r="AQ41" s="140"/>
      <c r="AR41" s="140"/>
      <c r="AS41" s="140"/>
      <c r="AT41" s="140"/>
      <c r="AU41" s="140"/>
      <c r="AV41" s="140"/>
      <c r="AW41" s="140"/>
      <c r="AX41" s="140"/>
      <c r="AY41" s="140"/>
      <c r="AZ41" s="140"/>
      <c r="BA41" s="140"/>
      <c r="BB41" s="140"/>
      <c r="BC41" s="140"/>
      <c r="BD41" s="140"/>
      <c r="BE41" s="140"/>
      <c r="BF41" s="140"/>
      <c r="BG41" s="140"/>
      <c r="BH41" s="140"/>
      <c r="BI41" s="140"/>
    </row>
    <row r="42" spans="1:61" x14ac:dyDescent="0.3">
      <c r="A42" s="193" t="s">
        <v>306</v>
      </c>
      <c r="B42" s="194">
        <v>0.55555558204650879</v>
      </c>
      <c r="C42" s="194">
        <v>0.53658539056777954</v>
      </c>
      <c r="D42" s="194">
        <v>41</v>
      </c>
      <c r="E42" s="194">
        <v>0.61320751905441284</v>
      </c>
      <c r="F42" s="194">
        <v>0.58064514398574829</v>
      </c>
      <c r="G42" s="194">
        <v>31</v>
      </c>
      <c r="H42" s="194">
        <v>0.65555554628372192</v>
      </c>
      <c r="I42" s="194">
        <v>0.73529410362243652</v>
      </c>
      <c r="J42" s="194">
        <v>34</v>
      </c>
      <c r="K42" s="194">
        <v>0.74074071645736694</v>
      </c>
      <c r="L42" s="194">
        <v>0.63999998569488525</v>
      </c>
      <c r="M42" s="194">
        <v>25</v>
      </c>
      <c r="N42" s="194">
        <v>0.73750001192092896</v>
      </c>
      <c r="O42" s="194">
        <v>0.86363637447357178</v>
      </c>
      <c r="P42" s="194">
        <v>22</v>
      </c>
      <c r="Q42" s="194">
        <v>0.76041668653488159</v>
      </c>
      <c r="R42" s="194">
        <v>0.72727274894714355</v>
      </c>
      <c r="S42" s="194">
        <v>33</v>
      </c>
      <c r="T42" s="194">
        <v>0.70476192235946655</v>
      </c>
      <c r="U42" s="194">
        <v>0.73170733451843262</v>
      </c>
      <c r="V42" s="194">
        <v>41</v>
      </c>
      <c r="W42" s="194">
        <v>0.63265305757522583</v>
      </c>
      <c r="X42" s="194">
        <v>0.64516127109527588</v>
      </c>
      <c r="Y42" s="194">
        <v>31</v>
      </c>
      <c r="Z42" s="194">
        <v>0.5625</v>
      </c>
      <c r="AA42" s="194">
        <v>0.46153846383094788</v>
      </c>
      <c r="AB42" s="194">
        <v>26</v>
      </c>
      <c r="AC42" s="194">
        <v>0.5961538553237915</v>
      </c>
      <c r="AD42" s="194">
        <v>0.56410259008407593</v>
      </c>
      <c r="AE42" s="194">
        <v>39</v>
      </c>
      <c r="AF42" s="194">
        <v>0.62184876203536987</v>
      </c>
      <c r="AG42" s="194">
        <v>0.71794873476028442</v>
      </c>
      <c r="AH42" s="194">
        <v>39</v>
      </c>
      <c r="AI42" s="194">
        <v>0.64999997615814209</v>
      </c>
      <c r="AJ42" s="194">
        <v>0.58536583185195923</v>
      </c>
      <c r="AK42" s="194">
        <v>41</v>
      </c>
      <c r="AL42" s="140"/>
      <c r="AM42" s="140"/>
      <c r="AN42" s="140"/>
      <c r="AO42" s="140"/>
      <c r="AP42" s="140"/>
      <c r="AQ42" s="140"/>
      <c r="AR42" s="140"/>
      <c r="AS42" s="140"/>
      <c r="AT42" s="140"/>
      <c r="AU42" s="140"/>
      <c r="AV42" s="140"/>
      <c r="AW42" s="140"/>
      <c r="AX42" s="140"/>
      <c r="AY42" s="140"/>
      <c r="AZ42" s="140"/>
      <c r="BA42" s="140"/>
      <c r="BB42" s="140"/>
      <c r="BC42" s="140"/>
      <c r="BD42" s="140"/>
      <c r="BE42" s="140"/>
      <c r="BF42" s="140"/>
      <c r="BG42" s="140"/>
      <c r="BH42" s="140"/>
      <c r="BI42" s="140"/>
    </row>
    <row r="43" spans="1:61" x14ac:dyDescent="0.3">
      <c r="A43" s="193" t="s">
        <v>468</v>
      </c>
      <c r="B43" s="194">
        <v>0.32203391194343567</v>
      </c>
      <c r="C43" s="194">
        <v>0.31034481525421143</v>
      </c>
      <c r="D43" s="194">
        <v>29</v>
      </c>
      <c r="E43" s="194">
        <v>0.35294118523597717</v>
      </c>
      <c r="F43" s="194">
        <v>0.3333333432674408</v>
      </c>
      <c r="G43" s="194">
        <v>30</v>
      </c>
      <c r="H43" s="194">
        <v>0.32499998807907104</v>
      </c>
      <c r="I43" s="194">
        <v>0.42307692766189575</v>
      </c>
      <c r="J43" s="194">
        <v>26</v>
      </c>
      <c r="K43" s="194">
        <v>0.33766233921051025</v>
      </c>
      <c r="L43" s="194">
        <v>0.2083333283662796</v>
      </c>
      <c r="M43" s="194">
        <v>24</v>
      </c>
      <c r="N43" s="194">
        <v>0.28767123818397522</v>
      </c>
      <c r="O43" s="194">
        <v>0.37037035822868347</v>
      </c>
      <c r="P43" s="194">
        <v>27</v>
      </c>
      <c r="Q43" s="194">
        <v>0.37209302186965942</v>
      </c>
      <c r="R43" s="194">
        <v>0.27272728085517883</v>
      </c>
      <c r="S43" s="194">
        <v>22</v>
      </c>
      <c r="T43" s="194">
        <v>0.375</v>
      </c>
      <c r="U43" s="194">
        <v>0.43243244290351868</v>
      </c>
      <c r="V43" s="194">
        <v>37</v>
      </c>
      <c r="W43" s="194">
        <v>0.48421052098274231</v>
      </c>
      <c r="X43" s="194">
        <v>0.380952388048172</v>
      </c>
      <c r="Y43" s="194">
        <v>21</v>
      </c>
      <c r="Z43" s="194">
        <v>0.50537633895874023</v>
      </c>
      <c r="AA43" s="194">
        <v>0.59459459781646729</v>
      </c>
      <c r="AB43" s="194">
        <v>37</v>
      </c>
      <c r="AC43" s="194">
        <v>0.54716980457305908</v>
      </c>
      <c r="AD43" s="194">
        <v>0.48571428656578064</v>
      </c>
      <c r="AE43" s="194">
        <v>35</v>
      </c>
      <c r="AF43" s="194">
        <v>0.56140351295471191</v>
      </c>
      <c r="AG43" s="194">
        <v>0.55882352590560913</v>
      </c>
      <c r="AH43" s="194">
        <v>34</v>
      </c>
      <c r="AI43" s="194">
        <v>0.59493672847747803</v>
      </c>
      <c r="AJ43" s="194">
        <v>0.62222224473953247</v>
      </c>
      <c r="AK43" s="194">
        <v>45</v>
      </c>
      <c r="AL43" s="140"/>
      <c r="AM43" s="140"/>
      <c r="AN43" s="140"/>
      <c r="AO43" s="140"/>
      <c r="AP43" s="140"/>
      <c r="AQ43" s="140"/>
      <c r="AR43" s="140"/>
      <c r="AS43" s="140"/>
      <c r="AT43" s="140"/>
      <c r="AU43" s="140"/>
      <c r="AV43" s="140"/>
      <c r="AW43" s="140"/>
      <c r="AX43" s="140"/>
      <c r="AY43" s="140"/>
      <c r="AZ43" s="140"/>
      <c r="BA43" s="140"/>
      <c r="BB43" s="140"/>
      <c r="BC43" s="140"/>
      <c r="BD43" s="140"/>
      <c r="BE43" s="140"/>
      <c r="BF43" s="140"/>
      <c r="BG43" s="140"/>
      <c r="BH43" s="140"/>
      <c r="BI43" s="140"/>
    </row>
    <row r="44" spans="1:61" x14ac:dyDescent="0.3">
      <c r="A44" s="193" t="s">
        <v>448</v>
      </c>
      <c r="B44" s="194">
        <v>0.43396225571632385</v>
      </c>
      <c r="C44" s="194">
        <v>0.55555558204650879</v>
      </c>
      <c r="D44" s="194">
        <v>27</v>
      </c>
      <c r="E44" s="194">
        <v>0.38636362552642822</v>
      </c>
      <c r="F44" s="194">
        <v>0.30769231915473938</v>
      </c>
      <c r="G44" s="194">
        <v>26</v>
      </c>
      <c r="H44" s="194">
        <v>0.34117648005485535</v>
      </c>
      <c r="I44" s="194">
        <v>0.31428572535514832</v>
      </c>
      <c r="J44" s="194">
        <v>35</v>
      </c>
      <c r="K44" s="194">
        <v>0.35294118523597717</v>
      </c>
      <c r="L44" s="194">
        <v>0.4166666567325592</v>
      </c>
      <c r="M44" s="194">
        <v>24</v>
      </c>
      <c r="N44" s="194">
        <v>0.42647057771682739</v>
      </c>
      <c r="O44" s="194">
        <v>0.3461538553237915</v>
      </c>
      <c r="P44" s="194">
        <v>26</v>
      </c>
      <c r="Q44" s="194">
        <v>0.46153846383094788</v>
      </c>
      <c r="R44" s="194">
        <v>0.55555558204650879</v>
      </c>
      <c r="S44" s="194">
        <v>18</v>
      </c>
      <c r="T44" s="194">
        <v>0.5901639461517334</v>
      </c>
      <c r="U44" s="194">
        <v>0.52380955219268799</v>
      </c>
      <c r="V44" s="194">
        <v>21</v>
      </c>
      <c r="W44" s="194">
        <v>0.57333332300186157</v>
      </c>
      <c r="X44" s="194">
        <v>0.68181818723678589</v>
      </c>
      <c r="Y44" s="194">
        <v>22</v>
      </c>
      <c r="Z44" s="194">
        <v>0.5625</v>
      </c>
      <c r="AA44" s="194">
        <v>0.53125</v>
      </c>
      <c r="AB44" s="194">
        <v>32</v>
      </c>
      <c r="AC44" s="194">
        <v>0.47524753212928772</v>
      </c>
      <c r="AD44" s="194">
        <v>0.5</v>
      </c>
      <c r="AE44" s="194">
        <v>26</v>
      </c>
      <c r="AF44" s="194">
        <v>0.42045453190803528</v>
      </c>
      <c r="AG44" s="194">
        <v>0.41860464215278625</v>
      </c>
      <c r="AH44" s="194">
        <v>43</v>
      </c>
      <c r="AI44" s="194">
        <v>0.38709676265716553</v>
      </c>
      <c r="AJ44" s="194">
        <v>0.31578946113586426</v>
      </c>
      <c r="AK44" s="194">
        <v>19</v>
      </c>
      <c r="AL44" s="140"/>
      <c r="AM44" s="140"/>
      <c r="AN44" s="140"/>
      <c r="AO44" s="140"/>
      <c r="AP44" s="140"/>
      <c r="AQ44" s="140"/>
      <c r="AR44" s="140"/>
      <c r="AS44" s="140"/>
      <c r="AT44" s="140"/>
      <c r="AU44" s="140"/>
      <c r="AV44" s="140"/>
      <c r="AW44" s="140"/>
      <c r="AX44" s="140"/>
      <c r="AY44" s="140"/>
      <c r="AZ44" s="140"/>
      <c r="BA44" s="140"/>
      <c r="BB44" s="140"/>
      <c r="BC44" s="140"/>
      <c r="BD44" s="140"/>
      <c r="BE44" s="140"/>
      <c r="BF44" s="140"/>
      <c r="BG44" s="140"/>
      <c r="BH44" s="140"/>
      <c r="BI44" s="140"/>
    </row>
    <row r="45" spans="1:61" x14ac:dyDescent="0.3">
      <c r="A45" s="193" t="s">
        <v>516</v>
      </c>
      <c r="B45" s="194">
        <v>0.72000002861022949</v>
      </c>
      <c r="C45" s="194">
        <v>0.67441862821578979</v>
      </c>
      <c r="D45" s="194">
        <v>43</v>
      </c>
      <c r="E45" s="194">
        <v>0.70999997854232788</v>
      </c>
      <c r="F45" s="194">
        <v>0.78125</v>
      </c>
      <c r="G45" s="194">
        <v>32</v>
      </c>
      <c r="H45" s="194">
        <v>0.66304349899291992</v>
      </c>
      <c r="I45" s="194">
        <v>0.68000000715255737</v>
      </c>
      <c r="J45" s="194">
        <v>25</v>
      </c>
      <c r="K45" s="194">
        <v>0.68888890743255615</v>
      </c>
      <c r="L45" s="194">
        <v>0.54285717010498047</v>
      </c>
      <c r="M45" s="194">
        <v>35</v>
      </c>
      <c r="N45" s="194">
        <v>0.72815531492233276</v>
      </c>
      <c r="O45" s="194">
        <v>0.86666667461395264</v>
      </c>
      <c r="P45" s="194">
        <v>30</v>
      </c>
      <c r="Q45" s="194">
        <v>0.80434781312942505</v>
      </c>
      <c r="R45" s="194">
        <v>0.78947371244430542</v>
      </c>
      <c r="S45" s="194">
        <v>38</v>
      </c>
      <c r="T45" s="194">
        <v>0.75581395626068115</v>
      </c>
      <c r="U45" s="194">
        <v>0.75</v>
      </c>
      <c r="V45" s="194">
        <v>24</v>
      </c>
      <c r="W45" s="194">
        <v>0.75675678253173828</v>
      </c>
      <c r="X45" s="194">
        <v>0.70833331346511841</v>
      </c>
      <c r="Y45" s="194">
        <v>24</v>
      </c>
      <c r="Z45" s="194">
        <v>0.74324321746826172</v>
      </c>
      <c r="AA45" s="194">
        <v>0.80769228935241699</v>
      </c>
      <c r="AB45" s="194">
        <v>26</v>
      </c>
      <c r="AC45" s="194">
        <v>0.72839504480361938</v>
      </c>
      <c r="AD45" s="194">
        <v>0.70833331346511841</v>
      </c>
      <c r="AE45" s="194">
        <v>24</v>
      </c>
      <c r="AF45" s="194">
        <v>0.71428573131561279</v>
      </c>
      <c r="AG45" s="194">
        <v>0.67741936445236206</v>
      </c>
      <c r="AH45" s="194">
        <v>31</v>
      </c>
      <c r="AI45" s="194">
        <v>0.71698111295700073</v>
      </c>
      <c r="AJ45" s="194">
        <v>0.77272725105285645</v>
      </c>
      <c r="AK45" s="194">
        <v>22</v>
      </c>
      <c r="AL45" s="140"/>
      <c r="AM45" s="140"/>
      <c r="AN45" s="140"/>
      <c r="AO45" s="140"/>
      <c r="AP45" s="140"/>
      <c r="AQ45" s="140"/>
      <c r="AR45" s="140"/>
      <c r="AS45" s="140"/>
      <c r="AT45" s="140"/>
      <c r="AU45" s="140"/>
      <c r="AV45" s="140"/>
      <c r="AW45" s="140"/>
      <c r="AX45" s="140"/>
      <c r="AY45" s="140"/>
      <c r="AZ45" s="140"/>
      <c r="BA45" s="140"/>
      <c r="BB45" s="140"/>
      <c r="BC45" s="140"/>
      <c r="BD45" s="140"/>
      <c r="BE45" s="140"/>
      <c r="BF45" s="140"/>
      <c r="BG45" s="140"/>
      <c r="BH45" s="140"/>
      <c r="BI45" s="140"/>
    </row>
    <row r="46" spans="1:61" x14ac:dyDescent="0.3">
      <c r="A46" s="193" t="s">
        <v>462</v>
      </c>
      <c r="B46" s="194">
        <v>0.1388888955116272</v>
      </c>
      <c r="C46" s="194">
        <v>0.10000000149011612</v>
      </c>
      <c r="D46" s="194">
        <v>20</v>
      </c>
      <c r="E46" s="194">
        <v>0.12903225421905518</v>
      </c>
      <c r="F46" s="194">
        <v>0.1875</v>
      </c>
      <c r="G46" s="194">
        <v>16</v>
      </c>
      <c r="H46" s="194">
        <v>0.1111111119389534</v>
      </c>
      <c r="I46" s="194">
        <v>0.11538461595773697</v>
      </c>
      <c r="J46" s="194">
        <v>26</v>
      </c>
      <c r="K46" s="194">
        <v>6.25E-2</v>
      </c>
      <c r="L46" s="194">
        <v>4.76190485060215E-2</v>
      </c>
      <c r="M46" s="194">
        <v>21</v>
      </c>
      <c r="N46" s="194">
        <v>2.857142873108387E-2</v>
      </c>
      <c r="O46" s="194">
        <v>0</v>
      </c>
      <c r="P46" s="194">
        <v>17</v>
      </c>
      <c r="Q46" s="194">
        <v>5.1948051899671555E-2</v>
      </c>
      <c r="R46" s="194">
        <v>3.125E-2</v>
      </c>
      <c r="S46" s="194">
        <v>32</v>
      </c>
      <c r="T46" s="194">
        <v>0.10989011079072952</v>
      </c>
      <c r="U46" s="194">
        <v>0.1071428582072258</v>
      </c>
      <c r="V46" s="194">
        <v>28</v>
      </c>
      <c r="W46" s="194">
        <v>0.20731706917285919</v>
      </c>
      <c r="X46" s="194">
        <v>0.19354838132858276</v>
      </c>
      <c r="Y46" s="194">
        <v>31</v>
      </c>
      <c r="Z46" s="194">
        <v>0.22784809768199921</v>
      </c>
      <c r="AA46" s="194">
        <v>0.34782609343528748</v>
      </c>
      <c r="AB46" s="194">
        <v>23</v>
      </c>
      <c r="AC46" s="194">
        <v>0.18181818723678589</v>
      </c>
      <c r="AD46" s="194">
        <v>0.15999999642372131</v>
      </c>
      <c r="AE46" s="194">
        <v>25</v>
      </c>
      <c r="AF46" s="194">
        <v>0.1139240488409996</v>
      </c>
      <c r="AG46" s="194">
        <v>6.8965516984462738E-2</v>
      </c>
      <c r="AH46" s="194">
        <v>29</v>
      </c>
      <c r="AI46" s="194">
        <v>9.2592589557170868E-2</v>
      </c>
      <c r="AJ46" s="194">
        <v>0.11999999731779099</v>
      </c>
      <c r="AK46" s="194">
        <v>25</v>
      </c>
      <c r="AL46" s="140"/>
      <c r="AM46" s="140"/>
      <c r="AN46" s="140"/>
      <c r="AO46" s="140"/>
      <c r="AP46" s="140"/>
      <c r="AQ46" s="140"/>
      <c r="AR46" s="140"/>
      <c r="AS46" s="140"/>
      <c r="AT46" s="140"/>
      <c r="AU46" s="140"/>
      <c r="AV46" s="140"/>
      <c r="AW46" s="140"/>
      <c r="AX46" s="140"/>
      <c r="AY46" s="140"/>
      <c r="AZ46" s="140"/>
      <c r="BA46" s="140"/>
      <c r="BB46" s="140"/>
      <c r="BC46" s="140"/>
      <c r="BD46" s="140"/>
      <c r="BE46" s="140"/>
      <c r="BF46" s="140"/>
      <c r="BG46" s="140"/>
      <c r="BH46" s="140"/>
      <c r="BI46" s="140"/>
    </row>
    <row r="47" spans="1:61" x14ac:dyDescent="0.3">
      <c r="A47" s="193" t="s">
        <v>442</v>
      </c>
      <c r="B47" s="194">
        <v>0.73170733451843262</v>
      </c>
      <c r="C47" s="194">
        <v>0.86666667461395264</v>
      </c>
      <c r="D47" s="194">
        <v>15</v>
      </c>
      <c r="E47" s="194">
        <v>0.72131145000457764</v>
      </c>
      <c r="F47" s="194">
        <v>0.6538461446762085</v>
      </c>
      <c r="G47" s="194">
        <v>26</v>
      </c>
      <c r="H47" s="194">
        <v>0.671875</v>
      </c>
      <c r="I47" s="194">
        <v>0.69999998807907104</v>
      </c>
      <c r="J47" s="194">
        <v>20</v>
      </c>
      <c r="K47" s="194">
        <v>0.72000002861022949</v>
      </c>
      <c r="L47" s="194">
        <v>0.66666668653488159</v>
      </c>
      <c r="M47" s="194">
        <v>18</v>
      </c>
      <c r="N47" s="194">
        <v>0.66666668653488159</v>
      </c>
      <c r="O47" s="194">
        <v>0.83333331346511841</v>
      </c>
      <c r="P47" s="194">
        <v>12</v>
      </c>
      <c r="Q47" s="194">
        <v>0.47999998927116394</v>
      </c>
      <c r="R47" s="194">
        <v>0.53333336114883423</v>
      </c>
      <c r="S47" s="194">
        <v>15</v>
      </c>
      <c r="T47" s="194">
        <v>0.57377046346664429</v>
      </c>
      <c r="U47" s="194">
        <v>0.26086956262588501</v>
      </c>
      <c r="V47" s="194">
        <v>23</v>
      </c>
      <c r="W47" s="194">
        <v>0.64179104566574097</v>
      </c>
      <c r="X47" s="194">
        <v>0.91304349899291992</v>
      </c>
      <c r="Y47" s="194">
        <v>23</v>
      </c>
      <c r="Z47" s="194">
        <v>0.77966099977493286</v>
      </c>
      <c r="AA47" s="194">
        <v>0.76190477609634399</v>
      </c>
      <c r="AB47" s="194">
        <v>21</v>
      </c>
      <c r="AC47" s="194">
        <v>0.70588237047195435</v>
      </c>
      <c r="AD47" s="194">
        <v>0.60000002384185791</v>
      </c>
      <c r="AE47" s="194">
        <v>15</v>
      </c>
      <c r="AF47" s="194">
        <v>0.72222220897674561</v>
      </c>
      <c r="AG47" s="194">
        <v>0.73333334922790527</v>
      </c>
      <c r="AH47" s="194">
        <v>15</v>
      </c>
      <c r="AI47" s="194">
        <v>0.76923078298568726</v>
      </c>
      <c r="AJ47" s="194">
        <v>0.79166668653488159</v>
      </c>
      <c r="AK47" s="194">
        <v>24</v>
      </c>
      <c r="AL47" s="140"/>
      <c r="AM47" s="140"/>
      <c r="AN47" s="140"/>
      <c r="AO47" s="140"/>
      <c r="AP47" s="140"/>
      <c r="AQ47" s="140"/>
      <c r="AR47" s="140"/>
      <c r="AS47" s="140"/>
      <c r="AT47" s="140"/>
      <c r="AU47" s="140"/>
      <c r="AV47" s="140"/>
      <c r="AW47" s="140"/>
      <c r="AX47" s="140"/>
      <c r="AY47" s="140"/>
      <c r="AZ47" s="140"/>
      <c r="BA47" s="140"/>
      <c r="BB47" s="140"/>
      <c r="BC47" s="140"/>
      <c r="BD47" s="140"/>
      <c r="BE47" s="140"/>
      <c r="BF47" s="140"/>
      <c r="BG47" s="140"/>
      <c r="BH47" s="140"/>
      <c r="BI47" s="140"/>
    </row>
    <row r="48" spans="1:61" x14ac:dyDescent="0.3">
      <c r="A48" s="193" t="s">
        <v>444</v>
      </c>
      <c r="B48" s="194">
        <v>0.86666667461395264</v>
      </c>
      <c r="C48" s="194">
        <v>0.86206895112991333</v>
      </c>
      <c r="D48" s="194">
        <v>29</v>
      </c>
      <c r="E48" s="194">
        <v>0.84848487377166748</v>
      </c>
      <c r="F48" s="194">
        <v>0.875</v>
      </c>
      <c r="G48" s="194">
        <v>16</v>
      </c>
      <c r="H48" s="194">
        <v>0.87931036949157715</v>
      </c>
      <c r="I48" s="194">
        <v>0.8095238208770752</v>
      </c>
      <c r="J48" s="194">
        <v>21</v>
      </c>
      <c r="K48" s="194">
        <v>0.87878787517547607</v>
      </c>
      <c r="L48" s="194">
        <v>0.9523809552192688</v>
      </c>
      <c r="M48" s="194">
        <v>21</v>
      </c>
      <c r="N48" s="194">
        <v>0.91176468133926392</v>
      </c>
      <c r="O48" s="194">
        <v>0.875</v>
      </c>
      <c r="P48" s="194">
        <v>24</v>
      </c>
      <c r="Q48" s="194">
        <v>0.91044777631759644</v>
      </c>
      <c r="R48" s="194">
        <v>0.91304349899291992</v>
      </c>
      <c r="S48" s="194">
        <v>23</v>
      </c>
      <c r="T48" s="194">
        <v>0.93220341205596924</v>
      </c>
      <c r="U48" s="194">
        <v>0.94999998807907104</v>
      </c>
      <c r="V48" s="194">
        <v>20</v>
      </c>
      <c r="W48" s="194">
        <v>0.85185188055038452</v>
      </c>
      <c r="X48" s="194">
        <v>0.9375</v>
      </c>
      <c r="Y48" s="194">
        <v>16</v>
      </c>
      <c r="Z48" s="194">
        <v>0.77083331346511841</v>
      </c>
      <c r="AA48" s="194">
        <v>0.66666668653488159</v>
      </c>
      <c r="AB48" s="194">
        <v>18</v>
      </c>
      <c r="AC48" s="194">
        <v>0.65116280317306519</v>
      </c>
      <c r="AD48" s="194">
        <v>0.71428573131561279</v>
      </c>
      <c r="AE48" s="194">
        <v>14</v>
      </c>
      <c r="AF48" s="194">
        <v>0.76595747470855713</v>
      </c>
      <c r="AG48" s="194">
        <v>0.54545456171035767</v>
      </c>
      <c r="AH48" s="194">
        <v>11</v>
      </c>
      <c r="AI48" s="194">
        <v>0.78787881135940552</v>
      </c>
      <c r="AJ48" s="194">
        <v>0.90909093618392944</v>
      </c>
      <c r="AK48" s="194">
        <v>22</v>
      </c>
      <c r="AL48" s="140"/>
      <c r="AM48" s="140"/>
      <c r="AN48" s="140"/>
      <c r="AO48" s="140"/>
      <c r="AP48" s="140"/>
      <c r="AQ48" s="140"/>
      <c r="AR48" s="140"/>
      <c r="AS48" s="140"/>
      <c r="AT48" s="140"/>
      <c r="AU48" s="140"/>
      <c r="AV48" s="140"/>
      <c r="AW48" s="140"/>
      <c r="AX48" s="140"/>
      <c r="AY48" s="140"/>
      <c r="AZ48" s="140"/>
      <c r="BA48" s="140"/>
      <c r="BB48" s="140"/>
      <c r="BC48" s="140"/>
      <c r="BD48" s="140"/>
      <c r="BE48" s="140"/>
      <c r="BF48" s="140"/>
      <c r="BG48" s="140"/>
      <c r="BH48" s="140"/>
      <c r="BI48" s="140"/>
    </row>
    <row r="49" spans="1:61" x14ac:dyDescent="0.3">
      <c r="A49" s="193" t="s">
        <v>364</v>
      </c>
      <c r="B49" s="194">
        <v>0.12195122241973877</v>
      </c>
      <c r="C49" s="194">
        <v>0.10526315867900848</v>
      </c>
      <c r="D49" s="194">
        <v>19</v>
      </c>
      <c r="E49" s="194">
        <v>0.1147540956735611</v>
      </c>
      <c r="F49" s="194">
        <v>0.13636364042758942</v>
      </c>
      <c r="G49" s="194">
        <v>22</v>
      </c>
      <c r="H49" s="194">
        <v>0.10344827920198441</v>
      </c>
      <c r="I49" s="194">
        <v>0.10000000149011612</v>
      </c>
      <c r="J49" s="194">
        <v>20</v>
      </c>
      <c r="K49" s="194">
        <v>0.13793103396892548</v>
      </c>
      <c r="L49" s="194">
        <v>6.25E-2</v>
      </c>
      <c r="M49" s="194">
        <v>16</v>
      </c>
      <c r="N49" s="194">
        <v>0.1111111119389534</v>
      </c>
      <c r="O49" s="194">
        <v>0.22727273404598236</v>
      </c>
      <c r="P49" s="194">
        <v>22</v>
      </c>
      <c r="Q49" s="194">
        <v>0.41333332657814026</v>
      </c>
      <c r="R49" s="194">
        <v>3.9999999105930328E-2</v>
      </c>
      <c r="S49" s="194">
        <v>25</v>
      </c>
      <c r="T49" s="194">
        <v>0.60493826866149902</v>
      </c>
      <c r="U49" s="194">
        <v>0.8928571343421936</v>
      </c>
      <c r="V49" s="194">
        <v>28</v>
      </c>
      <c r="W49" s="194">
        <v>0.78571426868438721</v>
      </c>
      <c r="X49" s="194">
        <v>0.82142859697341919</v>
      </c>
      <c r="Y49" s="194">
        <v>28</v>
      </c>
      <c r="Z49" s="194">
        <v>0.75</v>
      </c>
      <c r="AA49" s="194">
        <v>0.6428571343421936</v>
      </c>
      <c r="AB49" s="194">
        <v>28</v>
      </c>
      <c r="AC49" s="194">
        <v>0.41111111640930176</v>
      </c>
      <c r="AD49" s="194">
        <v>0.79166668653488159</v>
      </c>
      <c r="AE49" s="194">
        <v>24</v>
      </c>
      <c r="AF49" s="194">
        <v>0.25287356972694397</v>
      </c>
      <c r="AG49" s="194">
        <v>0</v>
      </c>
      <c r="AH49" s="194">
        <v>38</v>
      </c>
      <c r="AI49" s="194">
        <v>4.76190485060215E-2</v>
      </c>
      <c r="AJ49" s="194">
        <v>0.11999999731779099</v>
      </c>
      <c r="AK49" s="194">
        <v>25</v>
      </c>
      <c r="AL49" s="140"/>
      <c r="AM49" s="140"/>
      <c r="AN49" s="140"/>
      <c r="AO49" s="140"/>
      <c r="AP49" s="140"/>
      <c r="AQ49" s="140"/>
      <c r="AR49" s="140"/>
      <c r="AS49" s="140"/>
      <c r="AT49" s="140"/>
      <c r="AU49" s="140"/>
      <c r="AV49" s="140"/>
      <c r="AW49" s="140"/>
      <c r="AX49" s="140"/>
      <c r="AY49" s="140"/>
      <c r="AZ49" s="140"/>
      <c r="BA49" s="140"/>
      <c r="BB49" s="140"/>
      <c r="BC49" s="140"/>
      <c r="BD49" s="140"/>
      <c r="BE49" s="140"/>
      <c r="BF49" s="140"/>
      <c r="BG49" s="140"/>
      <c r="BH49" s="140"/>
      <c r="BI49" s="140"/>
    </row>
    <row r="50" spans="1:61" x14ac:dyDescent="0.3">
      <c r="A50" s="193" t="s">
        <v>392</v>
      </c>
      <c r="B50" s="194">
        <v>0.47368422150611877</v>
      </c>
      <c r="C50" s="194">
        <v>0.4444444477558136</v>
      </c>
      <c r="D50" s="194">
        <v>9</v>
      </c>
      <c r="E50" s="194">
        <v>0.52173912525177002</v>
      </c>
      <c r="F50" s="194">
        <v>0.5</v>
      </c>
      <c r="G50" s="194">
        <v>10</v>
      </c>
      <c r="H50" s="194">
        <v>0.40909090638160706</v>
      </c>
      <c r="I50" s="194">
        <v>0.75</v>
      </c>
      <c r="J50" s="194">
        <v>4</v>
      </c>
      <c r="K50" s="194">
        <v>0.29411765933036804</v>
      </c>
      <c r="L50" s="194">
        <v>0.125</v>
      </c>
      <c r="M50" s="194">
        <v>8</v>
      </c>
      <c r="N50" s="194">
        <v>0.20000000298023224</v>
      </c>
      <c r="O50" s="194">
        <v>0.20000000298023224</v>
      </c>
      <c r="P50" s="194">
        <v>5</v>
      </c>
      <c r="Q50" s="194">
        <v>0.5</v>
      </c>
      <c r="R50" s="194">
        <v>0.28571429848670959</v>
      </c>
      <c r="S50" s="194">
        <v>7</v>
      </c>
      <c r="T50" s="194">
        <v>0.60000002384185791</v>
      </c>
      <c r="U50" s="194">
        <v>0.875</v>
      </c>
      <c r="V50" s="194">
        <v>8</v>
      </c>
      <c r="W50" s="194">
        <v>0.73076921701431274</v>
      </c>
      <c r="X50" s="194">
        <v>0.60000002384185791</v>
      </c>
      <c r="Y50" s="194">
        <v>10</v>
      </c>
      <c r="Z50" s="194">
        <v>0.63999998569488525</v>
      </c>
      <c r="AA50" s="194">
        <v>0.75</v>
      </c>
      <c r="AB50" s="194">
        <v>8</v>
      </c>
      <c r="AC50" s="194">
        <v>0.4444444477558136</v>
      </c>
      <c r="AD50" s="194">
        <v>0.57142859697341919</v>
      </c>
      <c r="AE50" s="194">
        <v>7</v>
      </c>
      <c r="AF50" s="194">
        <v>0.31914892792701721</v>
      </c>
      <c r="AG50" s="194">
        <v>0.28571429848670959</v>
      </c>
      <c r="AH50" s="194">
        <v>21</v>
      </c>
      <c r="AI50" s="194">
        <v>0.27500000596046448</v>
      </c>
      <c r="AJ50" s="194">
        <v>0.26315790414810181</v>
      </c>
      <c r="AK50" s="194">
        <v>19</v>
      </c>
      <c r="AL50" s="140"/>
      <c r="AM50" s="140"/>
      <c r="AN50" s="140"/>
      <c r="AO50" s="140"/>
      <c r="AP50" s="140"/>
      <c r="AQ50" s="140"/>
      <c r="AR50" s="140"/>
      <c r="AS50" s="140"/>
      <c r="AT50" s="140"/>
      <c r="AU50" s="140"/>
      <c r="AV50" s="140"/>
      <c r="AW50" s="140"/>
      <c r="AX50" s="140"/>
      <c r="AY50" s="140"/>
      <c r="AZ50" s="140"/>
      <c r="BA50" s="140"/>
      <c r="BB50" s="140"/>
      <c r="BC50" s="140"/>
      <c r="BD50" s="140"/>
      <c r="BE50" s="140"/>
      <c r="BF50" s="140"/>
      <c r="BG50" s="140"/>
      <c r="BH50" s="140"/>
      <c r="BI50" s="140"/>
    </row>
    <row r="51" spans="1:61" x14ac:dyDescent="0.3">
      <c r="A51" s="193" t="s">
        <v>325</v>
      </c>
      <c r="B51" s="194">
        <v>1</v>
      </c>
      <c r="C51" s="194"/>
      <c r="D51" s="194"/>
      <c r="E51" s="194">
        <v>0.66666668653488159</v>
      </c>
      <c r="F51" s="194">
        <v>1</v>
      </c>
      <c r="G51" s="194">
        <v>3</v>
      </c>
      <c r="H51" s="194">
        <v>0.71428573131561279</v>
      </c>
      <c r="I51" s="194">
        <v>0.3333333432674408</v>
      </c>
      <c r="J51" s="194">
        <v>3</v>
      </c>
      <c r="K51" s="194">
        <v>0.28571429848670959</v>
      </c>
      <c r="L51" s="194">
        <v>1</v>
      </c>
      <c r="M51" s="194">
        <v>1</v>
      </c>
      <c r="N51" s="194">
        <v>0.25</v>
      </c>
      <c r="O51" s="194">
        <v>0</v>
      </c>
      <c r="P51" s="194">
        <v>3</v>
      </c>
      <c r="Q51" s="194">
        <v>0.30000001192092896</v>
      </c>
      <c r="R51" s="194">
        <v>0.25</v>
      </c>
      <c r="S51" s="194">
        <v>4</v>
      </c>
      <c r="T51" s="194">
        <v>0.375</v>
      </c>
      <c r="U51" s="194">
        <v>0.66666668653488159</v>
      </c>
      <c r="V51" s="194">
        <v>3</v>
      </c>
      <c r="W51" s="194">
        <v>0.5</v>
      </c>
      <c r="X51" s="194">
        <v>0</v>
      </c>
      <c r="Y51" s="194">
        <v>1</v>
      </c>
      <c r="Z51" s="194">
        <v>0.5</v>
      </c>
      <c r="AA51" s="194">
        <v>0.5</v>
      </c>
      <c r="AB51" s="194">
        <v>2</v>
      </c>
      <c r="AC51" s="194">
        <v>0.5</v>
      </c>
      <c r="AD51" s="194">
        <v>0.66666668653488159</v>
      </c>
      <c r="AE51" s="194">
        <v>3</v>
      </c>
      <c r="AF51" s="194">
        <v>0.5</v>
      </c>
      <c r="AG51" s="194">
        <v>0</v>
      </c>
      <c r="AH51" s="194">
        <v>1</v>
      </c>
      <c r="AI51" s="194">
        <v>0.3333333432674408</v>
      </c>
      <c r="AJ51" s="194">
        <v>0.5</v>
      </c>
      <c r="AK51" s="194">
        <v>2</v>
      </c>
      <c r="AL51" s="140"/>
      <c r="AM51" s="140"/>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row>
    <row r="52" spans="1:61" x14ac:dyDescent="0.3">
      <c r="A52" s="193" t="s">
        <v>478</v>
      </c>
      <c r="B52" s="194">
        <v>0.26923078298568726</v>
      </c>
      <c r="C52" s="194">
        <v>0.2083333283662796</v>
      </c>
      <c r="D52" s="194">
        <v>24</v>
      </c>
      <c r="E52" s="194">
        <v>0.25714287161827087</v>
      </c>
      <c r="F52" s="194">
        <v>0.3214285671710968</v>
      </c>
      <c r="G52" s="194">
        <v>28</v>
      </c>
      <c r="H52" s="194">
        <v>0.22727273404598236</v>
      </c>
      <c r="I52" s="194">
        <v>0.2222222238779068</v>
      </c>
      <c r="J52" s="194">
        <v>18</v>
      </c>
      <c r="K52" s="194">
        <v>0.13725490868091583</v>
      </c>
      <c r="L52" s="194">
        <v>0.10000000149011612</v>
      </c>
      <c r="M52" s="194">
        <v>20</v>
      </c>
      <c r="N52" s="194">
        <v>7.5471699237823486E-2</v>
      </c>
      <c r="O52" s="194">
        <v>7.6923079788684845E-2</v>
      </c>
      <c r="P52" s="194">
        <v>13</v>
      </c>
      <c r="Q52" s="194">
        <v>0.2142857164144516</v>
      </c>
      <c r="R52" s="194">
        <v>5.000000074505806E-2</v>
      </c>
      <c r="S52" s="194">
        <v>20</v>
      </c>
      <c r="T52" s="194">
        <v>0.31147539615631104</v>
      </c>
      <c r="U52" s="194">
        <v>0.43478259444236755</v>
      </c>
      <c r="V52" s="194">
        <v>23</v>
      </c>
      <c r="W52" s="194">
        <v>0.48148149251937866</v>
      </c>
      <c r="X52" s="194">
        <v>0.4444444477558136</v>
      </c>
      <c r="Y52" s="194">
        <v>18</v>
      </c>
      <c r="Z52" s="194">
        <v>0.5901639461517334</v>
      </c>
      <c r="AA52" s="194">
        <v>0.61538463830947876</v>
      </c>
      <c r="AB52" s="194">
        <v>13</v>
      </c>
      <c r="AC52" s="194">
        <v>0.71875</v>
      </c>
      <c r="AD52" s="194">
        <v>0.66666668653488159</v>
      </c>
      <c r="AE52" s="194">
        <v>30</v>
      </c>
      <c r="AF52" s="194">
        <v>0.77108430862426758</v>
      </c>
      <c r="AG52" s="194">
        <v>0.8571428656578064</v>
      </c>
      <c r="AH52" s="194">
        <v>21</v>
      </c>
      <c r="AI52" s="194">
        <v>0.83018869161605835</v>
      </c>
      <c r="AJ52" s="194">
        <v>0.8125</v>
      </c>
      <c r="AK52" s="194">
        <v>32</v>
      </c>
      <c r="AL52" s="140"/>
      <c r="AM52" s="140"/>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row>
    <row r="53" spans="1:61" x14ac:dyDescent="0.3">
      <c r="A53" s="193" t="s">
        <v>474</v>
      </c>
      <c r="B53" s="194">
        <v>0.60000002384185791</v>
      </c>
      <c r="C53" s="194">
        <v>0.53846156597137451</v>
      </c>
      <c r="D53" s="194">
        <v>13</v>
      </c>
      <c r="E53" s="194">
        <v>0.58333331346511841</v>
      </c>
      <c r="F53" s="194">
        <v>0.66666668653488159</v>
      </c>
      <c r="G53" s="194">
        <v>12</v>
      </c>
      <c r="H53" s="194">
        <v>0.60000002384185791</v>
      </c>
      <c r="I53" s="194">
        <v>0.54545456171035767</v>
      </c>
      <c r="J53" s="194">
        <v>11</v>
      </c>
      <c r="K53" s="194">
        <v>0.47058823704719543</v>
      </c>
      <c r="L53" s="194">
        <v>0.58333331346511841</v>
      </c>
      <c r="M53" s="194">
        <v>12</v>
      </c>
      <c r="N53" s="194">
        <v>0.45161288976669312</v>
      </c>
      <c r="O53" s="194">
        <v>0.27272728085517883</v>
      </c>
      <c r="P53" s="194">
        <v>11</v>
      </c>
      <c r="Q53" s="194">
        <v>0.42307692766189575</v>
      </c>
      <c r="R53" s="194">
        <v>0.5</v>
      </c>
      <c r="S53" s="194">
        <v>8</v>
      </c>
      <c r="T53" s="194">
        <v>0.58333331346511841</v>
      </c>
      <c r="U53" s="194">
        <v>0.57142859697341919</v>
      </c>
      <c r="V53" s="194">
        <v>7</v>
      </c>
      <c r="W53" s="194">
        <v>0.48275861144065857</v>
      </c>
      <c r="X53" s="194">
        <v>0.66666668653488159</v>
      </c>
      <c r="Y53" s="194">
        <v>9</v>
      </c>
      <c r="Z53" s="194">
        <v>0.56666666269302368</v>
      </c>
      <c r="AA53" s="194">
        <v>0.30769231915473938</v>
      </c>
      <c r="AB53" s="194">
        <v>13</v>
      </c>
      <c r="AC53" s="194">
        <v>0.5</v>
      </c>
      <c r="AD53" s="194">
        <v>0.875</v>
      </c>
      <c r="AE53" s="194">
        <v>8</v>
      </c>
      <c r="AF53" s="194">
        <v>0.62068963050842285</v>
      </c>
      <c r="AG53" s="194">
        <v>0.4444444477558136</v>
      </c>
      <c r="AH53" s="194">
        <v>9</v>
      </c>
      <c r="AI53" s="194">
        <v>0.52380955219268799</v>
      </c>
      <c r="AJ53" s="194">
        <v>0.58333331346511841</v>
      </c>
      <c r="AK53" s="194">
        <v>12</v>
      </c>
      <c r="AL53" s="140"/>
      <c r="AM53" s="140"/>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row>
    <row r="54" spans="1:61" x14ac:dyDescent="0.3">
      <c r="A54" s="193" t="s">
        <v>532</v>
      </c>
      <c r="B54" s="194">
        <v>0.91666668653488159</v>
      </c>
      <c r="C54" s="194">
        <v>0.96296298503875732</v>
      </c>
      <c r="D54" s="194">
        <v>27</v>
      </c>
      <c r="E54" s="194">
        <v>0.85227274894714355</v>
      </c>
      <c r="F54" s="194">
        <v>0.8571428656578064</v>
      </c>
      <c r="G54" s="194">
        <v>21</v>
      </c>
      <c r="H54" s="194">
        <v>0.80000001192092896</v>
      </c>
      <c r="I54" s="194">
        <v>0.77499997615814209</v>
      </c>
      <c r="J54" s="194">
        <v>40</v>
      </c>
      <c r="K54" s="194">
        <v>0.80246913433074951</v>
      </c>
      <c r="L54" s="194">
        <v>0.79166668653488159</v>
      </c>
      <c r="M54" s="194">
        <v>24</v>
      </c>
      <c r="N54" s="194">
        <v>0.86153846979141235</v>
      </c>
      <c r="O54" s="194">
        <v>0.88235294818878174</v>
      </c>
      <c r="P54" s="194">
        <v>17</v>
      </c>
      <c r="Q54" s="194">
        <v>0.87878787517547607</v>
      </c>
      <c r="R54" s="194">
        <v>0.91666668653488159</v>
      </c>
      <c r="S54" s="194">
        <v>24</v>
      </c>
      <c r="T54" s="194">
        <v>0.70588237047195435</v>
      </c>
      <c r="U54" s="194">
        <v>0.8399999737739563</v>
      </c>
      <c r="V54" s="194">
        <v>25</v>
      </c>
      <c r="W54" s="194">
        <v>0.49122807383537292</v>
      </c>
      <c r="X54" s="194">
        <v>0.26315790414810181</v>
      </c>
      <c r="Y54" s="194">
        <v>19</v>
      </c>
      <c r="Z54" s="194">
        <v>0.32203391194343567</v>
      </c>
      <c r="AA54" s="194">
        <v>0.15384615957736969</v>
      </c>
      <c r="AB54" s="194">
        <v>13</v>
      </c>
      <c r="AC54" s="194">
        <v>0.47142857313156128</v>
      </c>
      <c r="AD54" s="194">
        <v>0.4444444477558136</v>
      </c>
      <c r="AE54" s="194">
        <v>27</v>
      </c>
      <c r="AF54" s="194">
        <v>0.58888888359069824</v>
      </c>
      <c r="AG54" s="194">
        <v>0.63333332538604736</v>
      </c>
      <c r="AH54" s="194">
        <v>30</v>
      </c>
      <c r="AI54" s="194">
        <v>0.65079367160797119</v>
      </c>
      <c r="AJ54" s="194">
        <v>0.66666668653488159</v>
      </c>
      <c r="AK54" s="194">
        <v>33</v>
      </c>
      <c r="AL54" s="140"/>
      <c r="AM54" s="140"/>
      <c r="AN54" s="140"/>
      <c r="AO54" s="140"/>
      <c r="AP54" s="140"/>
      <c r="AQ54" s="140"/>
      <c r="AR54" s="140"/>
      <c r="AS54" s="140"/>
      <c r="AT54" s="140"/>
      <c r="AU54" s="140"/>
      <c r="AV54" s="140"/>
      <c r="AW54" s="140"/>
      <c r="AX54" s="140"/>
      <c r="AY54" s="140"/>
      <c r="AZ54" s="140"/>
      <c r="BA54" s="140"/>
      <c r="BB54" s="140"/>
      <c r="BC54" s="140"/>
      <c r="BD54" s="140"/>
      <c r="BE54" s="140"/>
      <c r="BF54" s="140"/>
      <c r="BG54" s="140"/>
      <c r="BH54" s="140"/>
      <c r="BI54" s="140"/>
    </row>
    <row r="55" spans="1:61" x14ac:dyDescent="0.3">
      <c r="A55" s="193" t="s">
        <v>429</v>
      </c>
      <c r="B55" s="194">
        <v>0.17073170840740204</v>
      </c>
      <c r="C55" s="194">
        <v>0.10000000149011612</v>
      </c>
      <c r="D55" s="194">
        <v>20</v>
      </c>
      <c r="E55" s="194">
        <v>0.18181818723678589</v>
      </c>
      <c r="F55" s="194">
        <v>0.2380952388048172</v>
      </c>
      <c r="G55" s="194">
        <v>21</v>
      </c>
      <c r="H55" s="194">
        <v>0.190476194024086</v>
      </c>
      <c r="I55" s="194">
        <v>0.20000000298023224</v>
      </c>
      <c r="J55" s="194">
        <v>25</v>
      </c>
      <c r="K55" s="194">
        <v>0.2063492089509964</v>
      </c>
      <c r="L55" s="194">
        <v>0.11764705926179886</v>
      </c>
      <c r="M55" s="194">
        <v>17</v>
      </c>
      <c r="N55" s="194">
        <v>0.1428571492433548</v>
      </c>
      <c r="O55" s="194">
        <v>0.28571429848670959</v>
      </c>
      <c r="P55" s="194">
        <v>21</v>
      </c>
      <c r="Q55" s="194">
        <v>0.11428571492433548</v>
      </c>
      <c r="R55" s="194">
        <v>3.9999999105930328E-2</v>
      </c>
      <c r="S55" s="194">
        <v>25</v>
      </c>
      <c r="T55" s="194">
        <v>4.4117648154497147E-2</v>
      </c>
      <c r="U55" s="194">
        <v>4.1666667908430099E-2</v>
      </c>
      <c r="V55" s="194">
        <v>24</v>
      </c>
      <c r="W55" s="194">
        <v>6.3291139900684357E-2</v>
      </c>
      <c r="X55" s="194">
        <v>5.2631579339504242E-2</v>
      </c>
      <c r="Y55" s="194">
        <v>19</v>
      </c>
      <c r="Z55" s="194">
        <v>7.594936341047287E-2</v>
      </c>
      <c r="AA55" s="194">
        <v>8.3333335816860199E-2</v>
      </c>
      <c r="AB55" s="194">
        <v>36</v>
      </c>
      <c r="AC55" s="194">
        <v>7.7777780592441559E-2</v>
      </c>
      <c r="AD55" s="194">
        <v>8.3333335816860199E-2</v>
      </c>
      <c r="AE55" s="194">
        <v>24</v>
      </c>
      <c r="AF55" s="194">
        <v>5.7471264153718948E-2</v>
      </c>
      <c r="AG55" s="194">
        <v>6.6666670143604279E-2</v>
      </c>
      <c r="AH55" s="194">
        <v>30</v>
      </c>
      <c r="AI55" s="194">
        <v>4.76190485060215E-2</v>
      </c>
      <c r="AJ55" s="194">
        <v>3.0303031206130981E-2</v>
      </c>
      <c r="AK55" s="194">
        <v>33</v>
      </c>
      <c r="AL55" s="140"/>
      <c r="AM55" s="140"/>
      <c r="AN55" s="140"/>
      <c r="AO55" s="140"/>
      <c r="AP55" s="140"/>
      <c r="AQ55" s="140"/>
      <c r="AR55" s="140"/>
      <c r="AS55" s="140"/>
      <c r="AT55" s="140"/>
      <c r="AU55" s="140"/>
      <c r="AV55" s="140"/>
      <c r="AW55" s="140"/>
      <c r="AX55" s="140"/>
      <c r="AY55" s="140"/>
      <c r="AZ55" s="140"/>
      <c r="BA55" s="140"/>
      <c r="BB55" s="140"/>
      <c r="BC55" s="140"/>
      <c r="BD55" s="140"/>
      <c r="BE55" s="140"/>
      <c r="BF55" s="140"/>
      <c r="BG55" s="140"/>
      <c r="BH55" s="140"/>
      <c r="BI55" s="140"/>
    </row>
    <row r="56" spans="1:61" x14ac:dyDescent="0.3">
      <c r="A56" s="193" t="s">
        <v>339</v>
      </c>
      <c r="B56" s="194">
        <v>0</v>
      </c>
      <c r="C56" s="194">
        <v>0</v>
      </c>
      <c r="D56" s="194">
        <v>9</v>
      </c>
      <c r="E56" s="194">
        <v>0</v>
      </c>
      <c r="F56" s="194">
        <v>0</v>
      </c>
      <c r="G56" s="194">
        <v>5</v>
      </c>
      <c r="H56" s="194">
        <v>0</v>
      </c>
      <c r="I56" s="194">
        <v>0</v>
      </c>
      <c r="J56" s="194">
        <v>5</v>
      </c>
      <c r="K56" s="194">
        <v>0.1666666716337204</v>
      </c>
      <c r="L56" s="194">
        <v>0</v>
      </c>
      <c r="M56" s="194">
        <v>3</v>
      </c>
      <c r="N56" s="194">
        <v>0.3333333432674408</v>
      </c>
      <c r="O56" s="194">
        <v>0.5</v>
      </c>
      <c r="P56" s="194">
        <v>4</v>
      </c>
      <c r="Q56" s="194">
        <v>0.3333333432674408</v>
      </c>
      <c r="R56" s="194">
        <v>0.5</v>
      </c>
      <c r="S56" s="194">
        <v>2</v>
      </c>
      <c r="T56" s="194">
        <v>0.20000000298023224</v>
      </c>
      <c r="U56" s="194">
        <v>0</v>
      </c>
      <c r="V56" s="194">
        <v>3</v>
      </c>
      <c r="W56" s="194">
        <v>0.375</v>
      </c>
      <c r="X56" s="194">
        <v>0.20000000298023224</v>
      </c>
      <c r="Y56" s="194">
        <v>5</v>
      </c>
      <c r="Z56" s="194">
        <v>0.5</v>
      </c>
      <c r="AA56" s="194">
        <v>0.625</v>
      </c>
      <c r="AB56" s="194">
        <v>8</v>
      </c>
      <c r="AC56" s="194">
        <v>0.4583333432674408</v>
      </c>
      <c r="AD56" s="194">
        <v>0.60000002384185791</v>
      </c>
      <c r="AE56" s="194">
        <v>5</v>
      </c>
      <c r="AF56" s="194">
        <v>0.2222222238779068</v>
      </c>
      <c r="AG56" s="194">
        <v>0.27272728085517883</v>
      </c>
      <c r="AH56" s="194">
        <v>11</v>
      </c>
      <c r="AI56" s="194">
        <v>0.13636364042758942</v>
      </c>
      <c r="AJ56" s="194">
        <v>0</v>
      </c>
      <c r="AK56" s="194">
        <v>11</v>
      </c>
      <c r="AL56" s="140"/>
      <c r="AM56" s="140"/>
      <c r="AN56" s="140"/>
      <c r="AO56" s="140"/>
      <c r="AP56" s="140"/>
      <c r="AQ56" s="140"/>
      <c r="AR56" s="140"/>
      <c r="AS56" s="140"/>
      <c r="AT56" s="140"/>
      <c r="AU56" s="140"/>
      <c r="AV56" s="140"/>
      <c r="AW56" s="140"/>
      <c r="AX56" s="140"/>
      <c r="AY56" s="140"/>
      <c r="AZ56" s="140"/>
      <c r="BA56" s="140"/>
      <c r="BB56" s="140"/>
      <c r="BC56" s="140"/>
      <c r="BD56" s="140"/>
      <c r="BE56" s="140"/>
      <c r="BF56" s="140"/>
      <c r="BG56" s="140"/>
      <c r="BH56" s="140"/>
      <c r="BI56" s="140"/>
    </row>
    <row r="57" spans="1:61" x14ac:dyDescent="0.3">
      <c r="A57" s="193" t="s">
        <v>318</v>
      </c>
      <c r="B57" s="194">
        <v>0.5</v>
      </c>
      <c r="C57" s="194">
        <v>0.20000000298023224</v>
      </c>
      <c r="D57" s="194">
        <v>5</v>
      </c>
      <c r="E57" s="194">
        <v>0.6111111044883728</v>
      </c>
      <c r="F57" s="194">
        <v>0.71428573131561279</v>
      </c>
      <c r="G57" s="194">
        <v>7</v>
      </c>
      <c r="H57" s="194">
        <v>0.77777779102325439</v>
      </c>
      <c r="I57" s="194">
        <v>0.83333331346511841</v>
      </c>
      <c r="J57" s="194">
        <v>6</v>
      </c>
      <c r="K57" s="194">
        <v>0.8461538553237915</v>
      </c>
      <c r="L57" s="194">
        <v>0.80000001192092896</v>
      </c>
      <c r="M57" s="194">
        <v>5</v>
      </c>
      <c r="N57" s="194">
        <v>0.82608693838119507</v>
      </c>
      <c r="O57" s="194">
        <v>1</v>
      </c>
      <c r="P57" s="194">
        <v>2</v>
      </c>
      <c r="Q57" s="194">
        <v>0.80769228935241699</v>
      </c>
      <c r="R57" s="194">
        <v>0.8125</v>
      </c>
      <c r="S57" s="194">
        <v>16</v>
      </c>
      <c r="T57" s="194">
        <v>0.80555558204650879</v>
      </c>
      <c r="U57" s="194">
        <v>0.75</v>
      </c>
      <c r="V57" s="194">
        <v>8</v>
      </c>
      <c r="W57" s="194">
        <v>0.81481480598449707</v>
      </c>
      <c r="X57" s="194">
        <v>0.83333331346511841</v>
      </c>
      <c r="Y57" s="194">
        <v>12</v>
      </c>
      <c r="Z57" s="194">
        <v>0.76666665077209473</v>
      </c>
      <c r="AA57" s="194">
        <v>0.8571428656578064</v>
      </c>
      <c r="AB57" s="194">
        <v>7</v>
      </c>
      <c r="AC57" s="194">
        <v>0.75757575035095215</v>
      </c>
      <c r="AD57" s="194">
        <v>0.63636362552642822</v>
      </c>
      <c r="AE57" s="194">
        <v>11</v>
      </c>
      <c r="AF57" s="194">
        <v>0.80000001192092896</v>
      </c>
      <c r="AG57" s="194">
        <v>0.80000001192092896</v>
      </c>
      <c r="AH57" s="194">
        <v>15</v>
      </c>
      <c r="AI57" s="194">
        <v>0.875</v>
      </c>
      <c r="AJ57" s="194">
        <v>1</v>
      </c>
      <c r="AK57" s="194">
        <v>9</v>
      </c>
      <c r="AL57" s="140"/>
      <c r="AM57" s="140"/>
      <c r="AN57" s="140"/>
      <c r="AO57" s="140"/>
      <c r="AP57" s="140"/>
      <c r="AQ57" s="140"/>
      <c r="AR57" s="140"/>
      <c r="AS57" s="140"/>
      <c r="AT57" s="140"/>
      <c r="AU57" s="140"/>
      <c r="AV57" s="140"/>
      <c r="AW57" s="140"/>
      <c r="AX57" s="140"/>
      <c r="AY57" s="140"/>
      <c r="AZ57" s="140"/>
      <c r="BA57" s="140"/>
      <c r="BB57" s="140"/>
      <c r="BC57" s="140"/>
      <c r="BD57" s="140"/>
      <c r="BE57" s="140"/>
      <c r="BF57" s="140"/>
      <c r="BG57" s="140"/>
      <c r="BH57" s="140"/>
      <c r="BI57" s="140"/>
    </row>
    <row r="58" spans="1:61" x14ac:dyDescent="0.3">
      <c r="A58" s="193" t="s">
        <v>384</v>
      </c>
      <c r="B58" s="194">
        <v>0.5762711763381958</v>
      </c>
      <c r="C58" s="194">
        <v>0.80000001192092896</v>
      </c>
      <c r="D58" s="194">
        <v>25</v>
      </c>
      <c r="E58" s="194">
        <v>0.56818181276321411</v>
      </c>
      <c r="F58" s="194">
        <v>0.4117647111415863</v>
      </c>
      <c r="G58" s="194">
        <v>34</v>
      </c>
      <c r="H58" s="194">
        <v>0.44705882668495178</v>
      </c>
      <c r="I58" s="194">
        <v>0.5517241358757019</v>
      </c>
      <c r="J58" s="194">
        <v>29</v>
      </c>
      <c r="K58" s="194">
        <v>0.5</v>
      </c>
      <c r="L58" s="194">
        <v>0.36363637447357178</v>
      </c>
      <c r="M58" s="194">
        <v>22</v>
      </c>
      <c r="N58" s="194">
        <v>0.5522388219833374</v>
      </c>
      <c r="O58" s="194">
        <v>0.57142859697341919</v>
      </c>
      <c r="P58" s="194">
        <v>21</v>
      </c>
      <c r="Q58" s="194">
        <v>0.71232879161834717</v>
      </c>
      <c r="R58" s="194">
        <v>0.70833331346511841</v>
      </c>
      <c r="S58" s="194">
        <v>24</v>
      </c>
      <c r="T58" s="194">
        <v>0.76623374223709106</v>
      </c>
      <c r="U58" s="194">
        <v>0.82142859697341919</v>
      </c>
      <c r="V58" s="194">
        <v>28</v>
      </c>
      <c r="W58" s="194">
        <v>0.80519479513168335</v>
      </c>
      <c r="X58" s="194">
        <v>0.75999999046325684</v>
      </c>
      <c r="Y58" s="194">
        <v>25</v>
      </c>
      <c r="Z58" s="194">
        <v>0.76315790414810181</v>
      </c>
      <c r="AA58" s="194">
        <v>0.83333331346511841</v>
      </c>
      <c r="AB58" s="194">
        <v>24</v>
      </c>
      <c r="AC58" s="194">
        <v>0.61904764175415039</v>
      </c>
      <c r="AD58" s="194">
        <v>0.70370370149612427</v>
      </c>
      <c r="AE58" s="194">
        <v>27</v>
      </c>
      <c r="AF58" s="194">
        <v>0.37254902720451355</v>
      </c>
      <c r="AG58" s="194">
        <v>0</v>
      </c>
      <c r="AH58" s="194">
        <v>12</v>
      </c>
      <c r="AI58" s="194">
        <v>0</v>
      </c>
      <c r="AJ58" s="194">
        <v>0</v>
      </c>
      <c r="AK58" s="194">
        <v>12</v>
      </c>
      <c r="AL58" s="140"/>
      <c r="AM58" s="140"/>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row>
    <row r="59" spans="1:61" x14ac:dyDescent="0.3">
      <c r="A59" s="193" t="s">
        <v>464</v>
      </c>
      <c r="B59" s="194">
        <v>0.3125</v>
      </c>
      <c r="C59" s="194">
        <v>0.3333333432674408</v>
      </c>
      <c r="D59" s="194">
        <v>3</v>
      </c>
      <c r="E59" s="194">
        <v>0.3571428656578064</v>
      </c>
      <c r="F59" s="194">
        <v>0.30769231915473938</v>
      </c>
      <c r="G59" s="194">
        <v>13</v>
      </c>
      <c r="H59" s="194">
        <v>0.25641027092933655</v>
      </c>
      <c r="I59" s="194">
        <v>0.4166666567325592</v>
      </c>
      <c r="J59" s="194">
        <v>12</v>
      </c>
      <c r="K59" s="194">
        <v>0.24324324727058411</v>
      </c>
      <c r="L59" s="194">
        <v>7.1428574621677399E-2</v>
      </c>
      <c r="M59" s="194">
        <v>14</v>
      </c>
      <c r="N59" s="194">
        <v>0.20000000298023224</v>
      </c>
      <c r="O59" s="194">
        <v>0.27272728085517883</v>
      </c>
      <c r="P59" s="194">
        <v>11</v>
      </c>
      <c r="Q59" s="194">
        <v>0.25806450843811035</v>
      </c>
      <c r="R59" s="194">
        <v>0.30000001192092896</v>
      </c>
      <c r="S59" s="194">
        <v>10</v>
      </c>
      <c r="T59" s="194">
        <v>0.23076923191547394</v>
      </c>
      <c r="U59" s="194">
        <v>0.20000000298023224</v>
      </c>
      <c r="V59" s="194">
        <v>10</v>
      </c>
      <c r="W59" s="194">
        <v>0.35483869910240173</v>
      </c>
      <c r="X59" s="194">
        <v>0.1666666716337204</v>
      </c>
      <c r="Y59" s="194">
        <v>6</v>
      </c>
      <c r="Z59" s="194">
        <v>0.5</v>
      </c>
      <c r="AA59" s="194">
        <v>0.53333336114883423</v>
      </c>
      <c r="AB59" s="194">
        <v>15</v>
      </c>
      <c r="AC59" s="194">
        <v>0.5</v>
      </c>
      <c r="AD59" s="194">
        <v>0.80000001192092896</v>
      </c>
      <c r="AE59" s="194">
        <v>5</v>
      </c>
      <c r="AF59" s="194">
        <v>0.55000001192092896</v>
      </c>
      <c r="AG59" s="194">
        <v>0.25</v>
      </c>
      <c r="AH59" s="194">
        <v>8</v>
      </c>
      <c r="AI59" s="194">
        <v>0.46666666865348816</v>
      </c>
      <c r="AJ59" s="194">
        <v>0.71428573131561279</v>
      </c>
      <c r="AK59" s="194">
        <v>7</v>
      </c>
      <c r="AL59" s="140"/>
      <c r="AM59" s="140"/>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row>
    <row r="60" spans="1:61" x14ac:dyDescent="0.3">
      <c r="A60" s="193" t="s">
        <v>439</v>
      </c>
      <c r="B60" s="194">
        <v>0.69491523504257202</v>
      </c>
      <c r="C60" s="194">
        <v>0.77777779102325439</v>
      </c>
      <c r="D60" s="194">
        <v>36</v>
      </c>
      <c r="E60" s="194">
        <v>0.72413790225982666</v>
      </c>
      <c r="F60" s="194">
        <v>0.56521737575531006</v>
      </c>
      <c r="G60" s="194">
        <v>23</v>
      </c>
      <c r="H60" s="194">
        <v>0.64383560419082642</v>
      </c>
      <c r="I60" s="194">
        <v>0.78571426868438721</v>
      </c>
      <c r="J60" s="194">
        <v>28</v>
      </c>
      <c r="K60" s="194">
        <v>0.70833331346511841</v>
      </c>
      <c r="L60" s="194">
        <v>0.54545456171035767</v>
      </c>
      <c r="M60" s="194">
        <v>22</v>
      </c>
      <c r="N60" s="194">
        <v>0.70512819290161133</v>
      </c>
      <c r="O60" s="194">
        <v>0.77272725105285645</v>
      </c>
      <c r="P60" s="194">
        <v>22</v>
      </c>
      <c r="Q60" s="194">
        <v>0.74736839532852173</v>
      </c>
      <c r="R60" s="194">
        <v>0.76470589637756348</v>
      </c>
      <c r="S60" s="194">
        <v>34</v>
      </c>
      <c r="T60" s="194">
        <v>0.7450980544090271</v>
      </c>
      <c r="U60" s="194">
        <v>0.71794873476028442</v>
      </c>
      <c r="V60" s="194">
        <v>39</v>
      </c>
      <c r="W60" s="194">
        <v>0.72727274894714355</v>
      </c>
      <c r="X60" s="194">
        <v>0.75862067937850952</v>
      </c>
      <c r="Y60" s="194">
        <v>29</v>
      </c>
      <c r="Z60" s="194">
        <v>0.68055558204650879</v>
      </c>
      <c r="AA60" s="194">
        <v>0.69999998807907104</v>
      </c>
      <c r="AB60" s="194">
        <v>20</v>
      </c>
      <c r="AC60" s="194">
        <v>0.55405408143997192</v>
      </c>
      <c r="AD60" s="194">
        <v>0.56521737575531006</v>
      </c>
      <c r="AE60" s="194">
        <v>23</v>
      </c>
      <c r="AF60" s="194">
        <v>0.55294120311737061</v>
      </c>
      <c r="AG60" s="194">
        <v>0.45161288976669312</v>
      </c>
      <c r="AH60" s="194">
        <v>31</v>
      </c>
      <c r="AI60" s="194">
        <v>0.54838711023330688</v>
      </c>
      <c r="AJ60" s="194">
        <v>0.64516127109527588</v>
      </c>
      <c r="AK60" s="194">
        <v>31</v>
      </c>
      <c r="AL60" s="140"/>
      <c r="AM60" s="140"/>
      <c r="AN60" s="140"/>
      <c r="AO60" s="140"/>
      <c r="AP60" s="140"/>
      <c r="AQ60" s="140"/>
      <c r="AR60" s="140"/>
      <c r="AS60" s="140"/>
      <c r="AT60" s="140"/>
      <c r="AU60" s="140"/>
      <c r="AV60" s="140"/>
      <c r="AW60" s="140"/>
      <c r="AX60" s="140"/>
      <c r="AY60" s="140"/>
      <c r="AZ60" s="140"/>
      <c r="BA60" s="140"/>
      <c r="BB60" s="140"/>
      <c r="BC60" s="140"/>
      <c r="BD60" s="140"/>
      <c r="BE60" s="140"/>
      <c r="BF60" s="140"/>
      <c r="BG60" s="140"/>
      <c r="BH60" s="140"/>
      <c r="BI60" s="140"/>
    </row>
    <row r="61" spans="1:61" x14ac:dyDescent="0.3">
      <c r="A61" s="193" t="s">
        <v>522</v>
      </c>
      <c r="B61" s="194">
        <v>0.61904764175415039</v>
      </c>
      <c r="C61" s="194">
        <v>0.66666668653488159</v>
      </c>
      <c r="D61" s="194">
        <v>9</v>
      </c>
      <c r="E61" s="194">
        <v>0.52777779102325439</v>
      </c>
      <c r="F61" s="194">
        <v>0.58333331346511841</v>
      </c>
      <c r="G61" s="194">
        <v>12</v>
      </c>
      <c r="H61" s="194">
        <v>0.5116279125213623</v>
      </c>
      <c r="I61" s="194">
        <v>0.40000000596046448</v>
      </c>
      <c r="J61" s="194">
        <v>15</v>
      </c>
      <c r="K61" s="194">
        <v>0.52173912525177002</v>
      </c>
      <c r="L61" s="194">
        <v>0.5625</v>
      </c>
      <c r="M61" s="194">
        <v>16</v>
      </c>
      <c r="N61" s="194">
        <v>0.61904764175415039</v>
      </c>
      <c r="O61" s="194">
        <v>0.60000002384185791</v>
      </c>
      <c r="P61" s="194">
        <v>15</v>
      </c>
      <c r="Q61" s="194">
        <v>0.72093021869659424</v>
      </c>
      <c r="R61" s="194">
        <v>0.72727274894714355</v>
      </c>
      <c r="S61" s="194">
        <v>11</v>
      </c>
      <c r="T61" s="194">
        <v>0.80851066112518311</v>
      </c>
      <c r="U61" s="194">
        <v>0.82352942228317261</v>
      </c>
      <c r="V61" s="194">
        <v>17</v>
      </c>
      <c r="W61" s="194">
        <v>0.78723406791687012</v>
      </c>
      <c r="X61" s="194">
        <v>0.84210526943206787</v>
      </c>
      <c r="Y61" s="194">
        <v>19</v>
      </c>
      <c r="Z61" s="194">
        <v>0.75</v>
      </c>
      <c r="AA61" s="194">
        <v>0.63636362552642822</v>
      </c>
      <c r="AB61" s="194">
        <v>11</v>
      </c>
      <c r="AC61" s="194">
        <v>0.61538463830947876</v>
      </c>
      <c r="AD61" s="194">
        <v>0.72727274894714355</v>
      </c>
      <c r="AE61" s="194">
        <v>22</v>
      </c>
      <c r="AF61" s="194">
        <v>0.57894736528396606</v>
      </c>
      <c r="AG61" s="194">
        <v>0.47368422150611877</v>
      </c>
      <c r="AH61" s="194">
        <v>19</v>
      </c>
      <c r="AI61" s="194">
        <v>0.48571428656578064</v>
      </c>
      <c r="AJ61" s="194">
        <v>0.5</v>
      </c>
      <c r="AK61" s="194">
        <v>16</v>
      </c>
      <c r="AL61" s="140"/>
      <c r="AM61" s="140"/>
      <c r="AN61" s="140"/>
      <c r="AO61" s="140"/>
      <c r="AP61" s="140"/>
      <c r="AQ61" s="140"/>
      <c r="AR61" s="140"/>
      <c r="AS61" s="140"/>
      <c r="AT61" s="140"/>
      <c r="AU61" s="140"/>
      <c r="AV61" s="140"/>
      <c r="AW61" s="140"/>
      <c r="AX61" s="140"/>
      <c r="AY61" s="140"/>
      <c r="AZ61" s="140"/>
      <c r="BA61" s="140"/>
      <c r="BB61" s="140"/>
      <c r="BC61" s="140"/>
      <c r="BD61" s="140"/>
      <c r="BE61" s="140"/>
      <c r="BF61" s="140"/>
      <c r="BG61" s="140"/>
      <c r="BH61" s="140"/>
      <c r="BI61" s="140"/>
    </row>
    <row r="62" spans="1:61" x14ac:dyDescent="0.3">
      <c r="A62" s="193" t="s">
        <v>508</v>
      </c>
      <c r="B62" s="194">
        <v>0.20000000298023224</v>
      </c>
      <c r="C62" s="194">
        <v>0.3333333432674408</v>
      </c>
      <c r="D62" s="194">
        <v>3</v>
      </c>
      <c r="E62" s="194">
        <v>0.125</v>
      </c>
      <c r="F62" s="194">
        <v>0</v>
      </c>
      <c r="G62" s="194">
        <v>2</v>
      </c>
      <c r="H62" s="194">
        <v>0</v>
      </c>
      <c r="I62" s="194">
        <v>0</v>
      </c>
      <c r="J62" s="194">
        <v>3</v>
      </c>
      <c r="K62" s="194">
        <v>0</v>
      </c>
      <c r="L62" s="194">
        <v>0</v>
      </c>
      <c r="M62" s="194">
        <v>1</v>
      </c>
      <c r="N62" s="194">
        <v>0</v>
      </c>
      <c r="O62" s="194">
        <v>0</v>
      </c>
      <c r="P62" s="194">
        <v>4</v>
      </c>
      <c r="Q62" s="194">
        <v>0</v>
      </c>
      <c r="R62" s="194">
        <v>0</v>
      </c>
      <c r="S62" s="194">
        <v>1</v>
      </c>
      <c r="T62" s="194">
        <v>0</v>
      </c>
      <c r="U62" s="194">
        <v>0</v>
      </c>
      <c r="V62" s="194">
        <v>1</v>
      </c>
      <c r="W62" s="194">
        <v>0</v>
      </c>
      <c r="X62" s="194"/>
      <c r="Y62" s="194"/>
      <c r="Z62" s="194">
        <v>0</v>
      </c>
      <c r="AA62" s="194">
        <v>0</v>
      </c>
      <c r="AB62" s="194">
        <v>1</v>
      </c>
      <c r="AC62" s="194">
        <v>0.1666666716337204</v>
      </c>
      <c r="AD62" s="194">
        <v>0</v>
      </c>
      <c r="AE62" s="194">
        <v>1</v>
      </c>
      <c r="AF62" s="194">
        <v>0.20000000298023224</v>
      </c>
      <c r="AG62" s="194">
        <v>0.25</v>
      </c>
      <c r="AH62" s="194">
        <v>4</v>
      </c>
      <c r="AI62" s="194">
        <v>0.2222222238779068</v>
      </c>
      <c r="AJ62" s="194">
        <v>0.20000000298023224</v>
      </c>
      <c r="AK62" s="194">
        <v>5</v>
      </c>
      <c r="AL62" s="140"/>
      <c r="AM62" s="140"/>
      <c r="AN62" s="140"/>
      <c r="AO62" s="140"/>
      <c r="AP62" s="140"/>
      <c r="AQ62" s="140"/>
      <c r="AR62" s="140"/>
      <c r="AS62" s="140"/>
      <c r="AT62" s="140"/>
      <c r="AU62" s="140"/>
      <c r="AV62" s="140"/>
      <c r="AW62" s="140"/>
      <c r="AX62" s="140"/>
      <c r="AY62" s="140"/>
      <c r="AZ62" s="140"/>
      <c r="BA62" s="140"/>
      <c r="BB62" s="140"/>
      <c r="BC62" s="140"/>
      <c r="BD62" s="140"/>
      <c r="BE62" s="140"/>
      <c r="BF62" s="140"/>
      <c r="BG62" s="140"/>
      <c r="BH62" s="140"/>
      <c r="BI62" s="140"/>
    </row>
    <row r="63" spans="1:61" x14ac:dyDescent="0.3">
      <c r="A63" s="193" t="s">
        <v>506</v>
      </c>
      <c r="B63" s="194">
        <v>0.46938776969909668</v>
      </c>
      <c r="C63" s="194">
        <v>0.51999998092651367</v>
      </c>
      <c r="D63" s="194">
        <v>25</v>
      </c>
      <c r="E63" s="194">
        <v>0.43478259444236755</v>
      </c>
      <c r="F63" s="194">
        <v>0.4166666567325592</v>
      </c>
      <c r="G63" s="194">
        <v>24</v>
      </c>
      <c r="H63" s="194">
        <v>0.39189189672470093</v>
      </c>
      <c r="I63" s="194">
        <v>0.34999999403953552</v>
      </c>
      <c r="J63" s="194">
        <v>20</v>
      </c>
      <c r="K63" s="194">
        <v>0.40000000596046448</v>
      </c>
      <c r="L63" s="194">
        <v>0.40000000596046448</v>
      </c>
      <c r="M63" s="194">
        <v>30</v>
      </c>
      <c r="N63" s="194">
        <v>0.50793653726577759</v>
      </c>
      <c r="O63" s="194">
        <v>0.46666666865348816</v>
      </c>
      <c r="P63" s="194">
        <v>15</v>
      </c>
      <c r="Q63" s="194">
        <v>0.63157892227172852</v>
      </c>
      <c r="R63" s="194">
        <v>0.72222220897674561</v>
      </c>
      <c r="S63" s="194">
        <v>18</v>
      </c>
      <c r="T63" s="194">
        <v>0.64179104566574097</v>
      </c>
      <c r="U63" s="194">
        <v>0.66666668653488159</v>
      </c>
      <c r="V63" s="194">
        <v>24</v>
      </c>
      <c r="W63" s="194">
        <v>0.64935064315795898</v>
      </c>
      <c r="X63" s="194">
        <v>0.56000000238418579</v>
      </c>
      <c r="Y63" s="194">
        <v>25</v>
      </c>
      <c r="Z63" s="194">
        <v>0.64473682641983032</v>
      </c>
      <c r="AA63" s="194">
        <v>0.71428573131561279</v>
      </c>
      <c r="AB63" s="194">
        <v>28</v>
      </c>
      <c r="AC63" s="194">
        <v>0.70769232511520386</v>
      </c>
      <c r="AD63" s="194">
        <v>0.65217393636703491</v>
      </c>
      <c r="AE63" s="194">
        <v>23</v>
      </c>
      <c r="AF63" s="194">
        <v>0.68965518474578857</v>
      </c>
      <c r="AG63" s="194">
        <v>0.78571426868438721</v>
      </c>
      <c r="AH63" s="194">
        <v>14</v>
      </c>
      <c r="AI63" s="194">
        <v>0.71428573131561279</v>
      </c>
      <c r="AJ63" s="194">
        <v>0.66666668653488159</v>
      </c>
      <c r="AK63" s="194">
        <v>21</v>
      </c>
      <c r="AL63" s="140"/>
      <c r="AM63" s="140"/>
      <c r="AN63" s="140"/>
      <c r="AO63" s="140"/>
      <c r="AP63" s="140"/>
      <c r="AQ63" s="140"/>
      <c r="AR63" s="140"/>
      <c r="AS63" s="140"/>
      <c r="AT63" s="140"/>
      <c r="AU63" s="140"/>
      <c r="AV63" s="140"/>
      <c r="AW63" s="140"/>
      <c r="AX63" s="140"/>
      <c r="AY63" s="140"/>
      <c r="AZ63" s="140"/>
      <c r="BA63" s="140"/>
      <c r="BB63" s="140"/>
      <c r="BC63" s="140"/>
      <c r="BD63" s="140"/>
      <c r="BE63" s="140"/>
      <c r="BF63" s="140"/>
      <c r="BG63" s="140"/>
      <c r="BH63" s="140"/>
      <c r="BI63" s="140"/>
    </row>
    <row r="64" spans="1:61" x14ac:dyDescent="0.3">
      <c r="A64" s="193" t="s">
        <v>550</v>
      </c>
      <c r="B64" s="194">
        <v>0.28571429848670959</v>
      </c>
      <c r="C64" s="194">
        <v>0.40000000596046448</v>
      </c>
      <c r="D64" s="194">
        <v>5</v>
      </c>
      <c r="E64" s="194">
        <v>0.20000000298023224</v>
      </c>
      <c r="F64" s="194">
        <v>0</v>
      </c>
      <c r="G64" s="194">
        <v>2</v>
      </c>
      <c r="H64" s="194">
        <v>0.10526315867900848</v>
      </c>
      <c r="I64" s="194">
        <v>0.125</v>
      </c>
      <c r="J64" s="194">
        <v>8</v>
      </c>
      <c r="K64" s="194">
        <v>8.3333335816860199E-2</v>
      </c>
      <c r="L64" s="194">
        <v>0.1111111119389534</v>
      </c>
      <c r="M64" s="194">
        <v>9</v>
      </c>
      <c r="N64" s="194">
        <v>5.8823529630899429E-2</v>
      </c>
      <c r="O64" s="194">
        <v>0</v>
      </c>
      <c r="P64" s="194">
        <v>7</v>
      </c>
      <c r="Q64" s="194">
        <v>0</v>
      </c>
      <c r="R64" s="194">
        <v>0</v>
      </c>
      <c r="S64" s="194">
        <v>1</v>
      </c>
      <c r="T64" s="194">
        <v>0.25</v>
      </c>
      <c r="U64" s="194">
        <v>0</v>
      </c>
      <c r="V64" s="194">
        <v>5</v>
      </c>
      <c r="W64" s="194">
        <v>0.3125</v>
      </c>
      <c r="X64" s="194">
        <v>0.5</v>
      </c>
      <c r="Y64" s="194">
        <v>6</v>
      </c>
      <c r="Z64" s="194">
        <v>0.6111111044883728</v>
      </c>
      <c r="AA64" s="194">
        <v>0.40000000596046448</v>
      </c>
      <c r="AB64" s="194">
        <v>5</v>
      </c>
      <c r="AC64" s="194">
        <v>0.52380955219268799</v>
      </c>
      <c r="AD64" s="194">
        <v>0.8571428656578064</v>
      </c>
      <c r="AE64" s="194">
        <v>7</v>
      </c>
      <c r="AF64" s="194">
        <v>0.57692307233810425</v>
      </c>
      <c r="AG64" s="194">
        <v>0.3333333432674408</v>
      </c>
      <c r="AH64" s="194">
        <v>9</v>
      </c>
      <c r="AI64" s="194">
        <v>0.47368422150611877</v>
      </c>
      <c r="AJ64" s="194">
        <v>0.60000002384185791</v>
      </c>
      <c r="AK64" s="194">
        <v>10</v>
      </c>
      <c r="AL64" s="140"/>
      <c r="AM64" s="140"/>
      <c r="AN64" s="140"/>
      <c r="AO64" s="140"/>
      <c r="AP64" s="140"/>
      <c r="AQ64" s="140"/>
      <c r="AR64" s="140"/>
      <c r="AS64" s="140"/>
      <c r="AT64" s="140"/>
      <c r="AU64" s="140"/>
      <c r="AV64" s="140"/>
      <c r="AW64" s="140"/>
      <c r="AX64" s="140"/>
      <c r="AY64" s="140"/>
      <c r="AZ64" s="140"/>
      <c r="BA64" s="140"/>
      <c r="BB64" s="140"/>
      <c r="BC64" s="140"/>
      <c r="BD64" s="140"/>
      <c r="BE64" s="140"/>
      <c r="BF64" s="140"/>
      <c r="BG64" s="140"/>
      <c r="BH64" s="140"/>
      <c r="BI64" s="140"/>
    </row>
    <row r="65" spans="1:61" x14ac:dyDescent="0.3">
      <c r="A65" s="193" t="s">
        <v>356</v>
      </c>
      <c r="B65" s="194">
        <v>0.4444444477558136</v>
      </c>
      <c r="C65" s="194">
        <v>0.25</v>
      </c>
      <c r="D65" s="194">
        <v>8</v>
      </c>
      <c r="E65" s="194">
        <v>0.5</v>
      </c>
      <c r="F65" s="194">
        <v>0.60000002384185791</v>
      </c>
      <c r="G65" s="194">
        <v>10</v>
      </c>
      <c r="H65" s="194">
        <v>0.73913043737411499</v>
      </c>
      <c r="I65" s="194">
        <v>0.66666668653488159</v>
      </c>
      <c r="J65" s="194">
        <v>6</v>
      </c>
      <c r="K65" s="194">
        <v>0.69999998807907104</v>
      </c>
      <c r="L65" s="194">
        <v>1</v>
      </c>
      <c r="M65" s="194">
        <v>7</v>
      </c>
      <c r="N65" s="194">
        <v>0.75</v>
      </c>
      <c r="O65" s="194">
        <v>0.4285714328289032</v>
      </c>
      <c r="P65" s="194">
        <v>7</v>
      </c>
      <c r="Q65" s="194">
        <v>0.63636362552642822</v>
      </c>
      <c r="R65" s="194">
        <v>1</v>
      </c>
      <c r="S65" s="194">
        <v>2</v>
      </c>
      <c r="T65" s="194">
        <v>1</v>
      </c>
      <c r="U65" s="194">
        <v>1</v>
      </c>
      <c r="V65" s="194">
        <v>2</v>
      </c>
      <c r="W65" s="194">
        <v>0.76923078298568726</v>
      </c>
      <c r="X65" s="194">
        <v>1</v>
      </c>
      <c r="Y65" s="194">
        <v>8</v>
      </c>
      <c r="Z65" s="194">
        <v>0.6875</v>
      </c>
      <c r="AA65" s="194">
        <v>0</v>
      </c>
      <c r="AB65" s="194">
        <v>3</v>
      </c>
      <c r="AC65" s="194">
        <v>0.5625</v>
      </c>
      <c r="AD65" s="194">
        <v>0.60000002384185791</v>
      </c>
      <c r="AE65" s="194">
        <v>5</v>
      </c>
      <c r="AF65" s="194">
        <v>0.625</v>
      </c>
      <c r="AG65" s="194">
        <v>0.75</v>
      </c>
      <c r="AH65" s="194">
        <v>8</v>
      </c>
      <c r="AI65" s="194">
        <v>0.63636362552642822</v>
      </c>
      <c r="AJ65" s="194">
        <v>0.3333333432674408</v>
      </c>
      <c r="AK65" s="194">
        <v>3</v>
      </c>
      <c r="AL65" s="140"/>
      <c r="AM65" s="140"/>
      <c r="AN65" s="140"/>
      <c r="AO65" s="140"/>
      <c r="AP65" s="140"/>
      <c r="AQ65" s="140"/>
      <c r="AR65" s="140"/>
      <c r="AS65" s="140"/>
      <c r="AT65" s="140"/>
      <c r="AU65" s="140"/>
      <c r="AV65" s="140"/>
      <c r="AW65" s="140"/>
      <c r="AX65" s="140"/>
      <c r="AY65" s="140"/>
      <c r="AZ65" s="140"/>
      <c r="BA65" s="140"/>
      <c r="BB65" s="140"/>
      <c r="BC65" s="140"/>
      <c r="BD65" s="140"/>
      <c r="BE65" s="140"/>
      <c r="BF65" s="140"/>
      <c r="BG65" s="140"/>
      <c r="BH65" s="140"/>
      <c r="BI65" s="140"/>
    </row>
    <row r="66" spans="1:61" x14ac:dyDescent="0.3">
      <c r="A66" s="193" t="s">
        <v>414</v>
      </c>
      <c r="B66" s="194">
        <v>0.23728813230991364</v>
      </c>
      <c r="C66" s="194">
        <v>0.2222222238779068</v>
      </c>
      <c r="D66" s="194">
        <v>36</v>
      </c>
      <c r="E66" s="194">
        <v>0.30392158031463623</v>
      </c>
      <c r="F66" s="194">
        <v>0.26086956262588501</v>
      </c>
      <c r="G66" s="194">
        <v>23</v>
      </c>
      <c r="H66" s="194">
        <v>0.37864077091217041</v>
      </c>
      <c r="I66" s="194">
        <v>0.39534884691238403</v>
      </c>
      <c r="J66" s="194">
        <v>43</v>
      </c>
      <c r="K66" s="194">
        <v>0.44660192728042603</v>
      </c>
      <c r="L66" s="194">
        <v>0.43243244290351868</v>
      </c>
      <c r="M66" s="194">
        <v>37</v>
      </c>
      <c r="N66" s="194">
        <v>0.47777777910232544</v>
      </c>
      <c r="O66" s="194">
        <v>0.56521737575531006</v>
      </c>
      <c r="P66" s="194">
        <v>23</v>
      </c>
      <c r="Q66" s="194">
        <v>0.52054792642593384</v>
      </c>
      <c r="R66" s="194">
        <v>0.46666666865348816</v>
      </c>
      <c r="S66" s="194">
        <v>30</v>
      </c>
      <c r="T66" s="194">
        <v>0.39080458879470825</v>
      </c>
      <c r="U66" s="194">
        <v>0.55000001192092896</v>
      </c>
      <c r="V66" s="194">
        <v>20</v>
      </c>
      <c r="W66" s="194">
        <v>0.37804877758026123</v>
      </c>
      <c r="X66" s="194">
        <v>0.24324324727058411</v>
      </c>
      <c r="Y66" s="194">
        <v>37</v>
      </c>
      <c r="Z66" s="194">
        <v>0.38596490025520325</v>
      </c>
      <c r="AA66" s="194">
        <v>0.43999999761581421</v>
      </c>
      <c r="AB66" s="194">
        <v>25</v>
      </c>
      <c r="AC66" s="194">
        <v>0.46788990497589111</v>
      </c>
      <c r="AD66" s="194">
        <v>0.46153846383094788</v>
      </c>
      <c r="AE66" s="194">
        <v>52</v>
      </c>
      <c r="AF66" s="194">
        <v>0.51639342308044434</v>
      </c>
      <c r="AG66" s="194">
        <v>0.5</v>
      </c>
      <c r="AH66" s="194">
        <v>32</v>
      </c>
      <c r="AI66" s="194">
        <v>0.55714285373687744</v>
      </c>
      <c r="AJ66" s="194">
        <v>0.60526317358016968</v>
      </c>
      <c r="AK66" s="194">
        <v>38</v>
      </c>
      <c r="AL66" s="140"/>
      <c r="AM66" s="140"/>
      <c r="AN66" s="140"/>
      <c r="AO66" s="140"/>
      <c r="AP66" s="140"/>
      <c r="AQ66" s="140"/>
      <c r="AR66" s="140"/>
      <c r="AS66" s="140"/>
      <c r="AT66" s="140"/>
      <c r="AU66" s="140"/>
      <c r="AV66" s="140"/>
      <c r="AW66" s="140"/>
      <c r="AX66" s="140"/>
      <c r="AY66" s="140"/>
      <c r="AZ66" s="140"/>
      <c r="BA66" s="140"/>
      <c r="BB66" s="140"/>
      <c r="BC66" s="140"/>
      <c r="BD66" s="140"/>
      <c r="BE66" s="140"/>
      <c r="BF66" s="140"/>
      <c r="BG66" s="140"/>
      <c r="BH66" s="140"/>
      <c r="BI66" s="140"/>
    </row>
    <row r="67" spans="1:61" x14ac:dyDescent="0.3">
      <c r="A67" s="193" t="s">
        <v>456</v>
      </c>
      <c r="B67" s="194">
        <v>0.18390804529190063</v>
      </c>
      <c r="C67" s="194">
        <v>0.1702127605676651</v>
      </c>
      <c r="D67" s="194">
        <v>47</v>
      </c>
      <c r="E67" s="194">
        <v>0.21705426275730133</v>
      </c>
      <c r="F67" s="194">
        <v>0.20000000298023224</v>
      </c>
      <c r="G67" s="194">
        <v>40</v>
      </c>
      <c r="H67" s="194">
        <v>0.22935779392719269</v>
      </c>
      <c r="I67" s="194">
        <v>0.28571429848670959</v>
      </c>
      <c r="J67" s="194">
        <v>42</v>
      </c>
      <c r="K67" s="194">
        <v>0.23148147761821747</v>
      </c>
      <c r="L67" s="194">
        <v>0.18518517911434174</v>
      </c>
      <c r="M67" s="194">
        <v>27</v>
      </c>
      <c r="N67" s="194">
        <v>0.20388349890708923</v>
      </c>
      <c r="O67" s="194">
        <v>0.20512820780277252</v>
      </c>
      <c r="P67" s="194">
        <v>39</v>
      </c>
      <c r="Q67" s="194">
        <v>0.27272728085517883</v>
      </c>
      <c r="R67" s="194">
        <v>0.21621622145175934</v>
      </c>
      <c r="S67" s="194">
        <v>37</v>
      </c>
      <c r="T67" s="194">
        <v>0.27586206793785095</v>
      </c>
      <c r="U67" s="194">
        <v>0.37777778506278992</v>
      </c>
      <c r="V67" s="194">
        <v>45</v>
      </c>
      <c r="W67" s="194">
        <v>0.27891156077384949</v>
      </c>
      <c r="X67" s="194">
        <v>0.2380952388048172</v>
      </c>
      <c r="Y67" s="194">
        <v>63</v>
      </c>
      <c r="Z67" s="194">
        <v>0.2361111044883728</v>
      </c>
      <c r="AA67" s="194">
        <v>0.23076923191547394</v>
      </c>
      <c r="AB67" s="194">
        <v>39</v>
      </c>
      <c r="AC67" s="194">
        <v>0.28148147463798523</v>
      </c>
      <c r="AD67" s="194">
        <v>0.2380952388048172</v>
      </c>
      <c r="AE67" s="194">
        <v>42</v>
      </c>
      <c r="AF67" s="194">
        <v>0.34558823704719543</v>
      </c>
      <c r="AG67" s="194">
        <v>0.35185185074806213</v>
      </c>
      <c r="AH67" s="194">
        <v>54</v>
      </c>
      <c r="AI67" s="194">
        <v>0.39361703395843506</v>
      </c>
      <c r="AJ67" s="194">
        <v>0.44999998807907104</v>
      </c>
      <c r="AK67" s="194">
        <v>40</v>
      </c>
      <c r="AL67" s="140"/>
      <c r="AM67" s="140"/>
      <c r="AN67" s="140"/>
      <c r="AO67" s="140"/>
      <c r="AP67" s="140"/>
      <c r="AQ67" s="140"/>
      <c r="AR67" s="140"/>
      <c r="AS67" s="140"/>
      <c r="AT67" s="140"/>
      <c r="AU67" s="140"/>
      <c r="AV67" s="140"/>
      <c r="AW67" s="140"/>
      <c r="AX67" s="140"/>
      <c r="AY67" s="140"/>
      <c r="AZ67" s="140"/>
      <c r="BA67" s="140"/>
      <c r="BB67" s="140"/>
      <c r="BC67" s="140"/>
      <c r="BD67" s="140"/>
      <c r="BE67" s="140"/>
      <c r="BF67" s="140"/>
      <c r="BG67" s="140"/>
      <c r="BH67" s="140"/>
      <c r="BI67" s="140"/>
    </row>
    <row r="68" spans="1:61" x14ac:dyDescent="0.3">
      <c r="A68" s="193" t="s">
        <v>293</v>
      </c>
      <c r="B68" s="194">
        <v>0.11764705926179886</v>
      </c>
      <c r="C68" s="194">
        <v>0</v>
      </c>
      <c r="D68" s="194">
        <v>6</v>
      </c>
      <c r="E68" s="194">
        <v>0.190476194024086</v>
      </c>
      <c r="F68" s="194">
        <v>0.18181818723678589</v>
      </c>
      <c r="G68" s="194">
        <v>11</v>
      </c>
      <c r="H68" s="194">
        <v>0.2222222238779068</v>
      </c>
      <c r="I68" s="194">
        <v>0.5</v>
      </c>
      <c r="J68" s="194">
        <v>4</v>
      </c>
      <c r="K68" s="194">
        <v>0.40000000596046448</v>
      </c>
      <c r="L68" s="194">
        <v>0</v>
      </c>
      <c r="M68" s="194">
        <v>3</v>
      </c>
      <c r="N68" s="194">
        <v>0.5</v>
      </c>
      <c r="O68" s="194">
        <v>0.5</v>
      </c>
      <c r="P68" s="194">
        <v>8</v>
      </c>
      <c r="Q68" s="194">
        <v>0.48780488967895508</v>
      </c>
      <c r="R68" s="194">
        <v>0.57894736528396606</v>
      </c>
      <c r="S68" s="194">
        <v>19</v>
      </c>
      <c r="T68" s="194">
        <v>0.44736841320991516</v>
      </c>
      <c r="U68" s="194">
        <v>0.3571428656578064</v>
      </c>
      <c r="V68" s="194">
        <v>14</v>
      </c>
      <c r="W68" s="194">
        <v>0.3333333432674408</v>
      </c>
      <c r="X68" s="194">
        <v>0.20000000298023224</v>
      </c>
      <c r="Y68" s="194">
        <v>5</v>
      </c>
      <c r="Z68" s="194">
        <v>0.3333333432674408</v>
      </c>
      <c r="AA68" s="194">
        <v>0.36363637447357178</v>
      </c>
      <c r="AB68" s="194">
        <v>11</v>
      </c>
      <c r="AC68" s="194">
        <v>0.3684210479259491</v>
      </c>
      <c r="AD68" s="194">
        <v>0.40000000596046448</v>
      </c>
      <c r="AE68" s="194">
        <v>5</v>
      </c>
      <c r="AF68" s="194">
        <v>0.45454546809196472</v>
      </c>
      <c r="AG68" s="194">
        <v>0.3333333432674408</v>
      </c>
      <c r="AH68" s="194">
        <v>3</v>
      </c>
      <c r="AI68" s="194">
        <v>0.5</v>
      </c>
      <c r="AJ68" s="194">
        <v>0.66666668653488159</v>
      </c>
      <c r="AK68" s="194">
        <v>3</v>
      </c>
      <c r="AL68" s="140"/>
      <c r="AM68" s="140"/>
      <c r="AN68" s="140"/>
      <c r="AO68" s="140"/>
      <c r="AP68" s="140"/>
      <c r="AQ68" s="140"/>
      <c r="AR68" s="140"/>
      <c r="AS68" s="140"/>
      <c r="AT68" s="140"/>
      <c r="AU68" s="140"/>
      <c r="AV68" s="140"/>
      <c r="AW68" s="140"/>
      <c r="AX68" s="140"/>
      <c r="AY68" s="140"/>
      <c r="AZ68" s="140"/>
      <c r="BA68" s="140"/>
      <c r="BB68" s="140"/>
      <c r="BC68" s="140"/>
      <c r="BD68" s="140"/>
      <c r="BE68" s="140"/>
      <c r="BF68" s="140"/>
      <c r="BG68" s="140"/>
      <c r="BH68" s="140"/>
      <c r="BI68" s="140"/>
    </row>
    <row r="69" spans="1:61" x14ac:dyDescent="0.3">
      <c r="A69" s="193" t="s">
        <v>486</v>
      </c>
      <c r="B69" s="194">
        <v>0</v>
      </c>
      <c r="C69" s="194">
        <v>0</v>
      </c>
      <c r="D69" s="194">
        <v>3</v>
      </c>
      <c r="E69" s="194">
        <v>6.25E-2</v>
      </c>
      <c r="F69" s="194">
        <v>0</v>
      </c>
      <c r="G69" s="194">
        <v>7</v>
      </c>
      <c r="H69" s="194">
        <v>0.26315790414810181</v>
      </c>
      <c r="I69" s="194">
        <v>0.1666666716337204</v>
      </c>
      <c r="J69" s="194">
        <v>6</v>
      </c>
      <c r="K69" s="194">
        <v>0.375</v>
      </c>
      <c r="L69" s="194">
        <v>0.66666668653488159</v>
      </c>
      <c r="M69" s="194">
        <v>6</v>
      </c>
      <c r="N69" s="194">
        <v>0.3125</v>
      </c>
      <c r="O69" s="194">
        <v>0.25</v>
      </c>
      <c r="P69" s="194">
        <v>4</v>
      </c>
      <c r="Q69" s="194">
        <v>0.11764705926179886</v>
      </c>
      <c r="R69" s="194">
        <v>0</v>
      </c>
      <c r="S69" s="194">
        <v>6</v>
      </c>
      <c r="T69" s="194">
        <v>5.000000074505806E-2</v>
      </c>
      <c r="U69" s="194">
        <v>0.1428571492433548</v>
      </c>
      <c r="V69" s="194">
        <v>7</v>
      </c>
      <c r="W69" s="194">
        <v>0.10526315867900848</v>
      </c>
      <c r="X69" s="194">
        <v>0</v>
      </c>
      <c r="Y69" s="194">
        <v>7</v>
      </c>
      <c r="Z69" s="194">
        <v>6.25E-2</v>
      </c>
      <c r="AA69" s="194">
        <v>0.20000000298023224</v>
      </c>
      <c r="AB69" s="194">
        <v>5</v>
      </c>
      <c r="AC69" s="194">
        <v>0.125</v>
      </c>
      <c r="AD69" s="194">
        <v>0</v>
      </c>
      <c r="AE69" s="194">
        <v>4</v>
      </c>
      <c r="AF69" s="194">
        <v>7.6923079788684845E-2</v>
      </c>
      <c r="AG69" s="194">
        <v>0.1428571492433548</v>
      </c>
      <c r="AH69" s="194">
        <v>7</v>
      </c>
      <c r="AI69" s="194">
        <v>0.1111111119389534</v>
      </c>
      <c r="AJ69" s="194">
        <v>0</v>
      </c>
      <c r="AK69" s="194">
        <v>2</v>
      </c>
      <c r="AL69" s="140"/>
      <c r="AM69" s="140"/>
      <c r="AN69" s="140"/>
      <c r="AO69" s="140"/>
      <c r="AP69" s="140"/>
      <c r="AQ69" s="140"/>
      <c r="AR69" s="140"/>
      <c r="AS69" s="140"/>
      <c r="AT69" s="140"/>
      <c r="AU69" s="140"/>
      <c r="AV69" s="140"/>
      <c r="AW69" s="140"/>
      <c r="AX69" s="140"/>
      <c r="AY69" s="140"/>
      <c r="AZ69" s="140"/>
      <c r="BA69" s="140"/>
      <c r="BB69" s="140"/>
      <c r="BC69" s="140"/>
      <c r="BD69" s="140"/>
      <c r="BE69" s="140"/>
      <c r="BF69" s="140"/>
      <c r="BG69" s="140"/>
      <c r="BH69" s="140"/>
      <c r="BI69" s="140"/>
    </row>
    <row r="70" spans="1:61" x14ac:dyDescent="0.3">
      <c r="A70" s="193" t="s">
        <v>362</v>
      </c>
      <c r="B70" s="194">
        <v>0.380952388048172</v>
      </c>
      <c r="C70" s="194">
        <v>0.40000000596046448</v>
      </c>
      <c r="D70" s="194">
        <v>15</v>
      </c>
      <c r="E70" s="194">
        <v>0.42307692766189575</v>
      </c>
      <c r="F70" s="194">
        <v>0.3333333432674408</v>
      </c>
      <c r="G70" s="194">
        <v>6</v>
      </c>
      <c r="H70" s="194">
        <v>0.59090906381607056</v>
      </c>
      <c r="I70" s="194">
        <v>0.60000002384185791</v>
      </c>
      <c r="J70" s="194">
        <v>5</v>
      </c>
      <c r="K70" s="194">
        <v>0.63636362552642822</v>
      </c>
      <c r="L70" s="194">
        <v>0.72727274894714355</v>
      </c>
      <c r="M70" s="194">
        <v>11</v>
      </c>
      <c r="N70" s="194">
        <v>0.5161290168762207</v>
      </c>
      <c r="O70" s="194">
        <v>0.5</v>
      </c>
      <c r="P70" s="194">
        <v>6</v>
      </c>
      <c r="Q70" s="194">
        <v>0.46428570151329041</v>
      </c>
      <c r="R70" s="194">
        <v>0.3571428656578064</v>
      </c>
      <c r="S70" s="194">
        <v>14</v>
      </c>
      <c r="T70" s="194">
        <v>0.48275861144065857</v>
      </c>
      <c r="U70" s="194">
        <v>0.625</v>
      </c>
      <c r="V70" s="194">
        <v>8</v>
      </c>
      <c r="W70" s="194">
        <v>0.63157892227172852</v>
      </c>
      <c r="X70" s="194">
        <v>0.57142859697341919</v>
      </c>
      <c r="Y70" s="194">
        <v>7</v>
      </c>
      <c r="Z70" s="194">
        <v>0.6538461446762085</v>
      </c>
      <c r="AA70" s="194">
        <v>0.75</v>
      </c>
      <c r="AB70" s="194">
        <v>4</v>
      </c>
      <c r="AC70" s="194">
        <v>0.6428571343421936</v>
      </c>
      <c r="AD70" s="194">
        <v>0.66666668653488159</v>
      </c>
      <c r="AE70" s="194">
        <v>15</v>
      </c>
      <c r="AF70" s="194">
        <v>0.59375</v>
      </c>
      <c r="AG70" s="194">
        <v>0.55555558204650879</v>
      </c>
      <c r="AH70" s="194">
        <v>9</v>
      </c>
      <c r="AI70" s="194">
        <v>0.52941179275512695</v>
      </c>
      <c r="AJ70" s="194">
        <v>0.5</v>
      </c>
      <c r="AK70" s="194">
        <v>8</v>
      </c>
      <c r="AL70" s="140"/>
      <c r="AM70" s="140"/>
      <c r="AN70" s="140"/>
      <c r="AO70" s="140"/>
      <c r="AP70" s="140"/>
      <c r="AQ70" s="140"/>
      <c r="AR70" s="140"/>
      <c r="AS70" s="140"/>
      <c r="AT70" s="140"/>
      <c r="AU70" s="140"/>
      <c r="AV70" s="140"/>
      <c r="AW70" s="140"/>
      <c r="AX70" s="140"/>
      <c r="AY70" s="140"/>
      <c r="AZ70" s="140"/>
      <c r="BA70" s="140"/>
      <c r="BB70" s="140"/>
      <c r="BC70" s="140"/>
      <c r="BD70" s="140"/>
      <c r="BE70" s="140"/>
      <c r="BF70" s="140"/>
      <c r="BG70" s="140"/>
      <c r="BH70" s="140"/>
      <c r="BI70" s="140"/>
    </row>
    <row r="71" spans="1:61" x14ac:dyDescent="0.3">
      <c r="A71" s="193" t="s">
        <v>367</v>
      </c>
      <c r="B71" s="194">
        <v>0.70833331346511841</v>
      </c>
      <c r="C71" s="194">
        <v>0.64999997615814209</v>
      </c>
      <c r="D71" s="194">
        <v>20</v>
      </c>
      <c r="E71" s="194">
        <v>0.68571430444717407</v>
      </c>
      <c r="F71" s="194">
        <v>0.75</v>
      </c>
      <c r="G71" s="194">
        <v>28</v>
      </c>
      <c r="H71" s="194">
        <v>0.75999999046325684</v>
      </c>
      <c r="I71" s="194">
        <v>0.63636362552642822</v>
      </c>
      <c r="J71" s="194">
        <v>22</v>
      </c>
      <c r="K71" s="194">
        <v>0.71641790866851807</v>
      </c>
      <c r="L71" s="194">
        <v>0.87999999523162842</v>
      </c>
      <c r="M71" s="194">
        <v>25</v>
      </c>
      <c r="N71" s="194">
        <v>0.7532467246055603</v>
      </c>
      <c r="O71" s="194">
        <v>0.60000002384185791</v>
      </c>
      <c r="P71" s="194">
        <v>20</v>
      </c>
      <c r="Q71" s="194">
        <v>0.65934067964553833</v>
      </c>
      <c r="R71" s="194">
        <v>0.75</v>
      </c>
      <c r="S71" s="194">
        <v>32</v>
      </c>
      <c r="T71" s="194">
        <v>0.69999998807907104</v>
      </c>
      <c r="U71" s="194">
        <v>0.61538463830947876</v>
      </c>
      <c r="V71" s="194">
        <v>39</v>
      </c>
      <c r="W71" s="194">
        <v>0.64864861965179443</v>
      </c>
      <c r="X71" s="194">
        <v>0.75862067937850952</v>
      </c>
      <c r="Y71" s="194">
        <v>29</v>
      </c>
      <c r="Z71" s="194">
        <v>0.6538461446762085</v>
      </c>
      <c r="AA71" s="194">
        <v>0.60465115308761597</v>
      </c>
      <c r="AB71" s="194">
        <v>43</v>
      </c>
      <c r="AC71" s="194">
        <v>0.66666668653488159</v>
      </c>
      <c r="AD71" s="194">
        <v>0.625</v>
      </c>
      <c r="AE71" s="194">
        <v>32</v>
      </c>
      <c r="AF71" s="194">
        <v>0.71929824352264404</v>
      </c>
      <c r="AG71" s="194">
        <v>0.76190477609634399</v>
      </c>
      <c r="AH71" s="194">
        <v>42</v>
      </c>
      <c r="AI71" s="194">
        <v>0.75609755516052246</v>
      </c>
      <c r="AJ71" s="194">
        <v>0.75</v>
      </c>
      <c r="AK71" s="194">
        <v>40</v>
      </c>
      <c r="AL71" s="140"/>
      <c r="AM71" s="140"/>
      <c r="AN71" s="140"/>
      <c r="AO71" s="140"/>
      <c r="AP71" s="140"/>
      <c r="AQ71" s="140"/>
      <c r="AR71" s="140"/>
      <c r="AS71" s="140"/>
      <c r="AT71" s="140"/>
      <c r="AU71" s="140"/>
      <c r="AV71" s="140"/>
      <c r="AW71" s="140"/>
      <c r="AX71" s="140"/>
      <c r="AY71" s="140"/>
      <c r="AZ71" s="140"/>
      <c r="BA71" s="140"/>
      <c r="BB71" s="140"/>
      <c r="BC71" s="140"/>
      <c r="BD71" s="140"/>
      <c r="BE71" s="140"/>
      <c r="BF71" s="140"/>
      <c r="BG71" s="140"/>
      <c r="BH71" s="140"/>
      <c r="BI71" s="140"/>
    </row>
    <row r="72" spans="1:61" x14ac:dyDescent="0.3">
      <c r="A72" s="193" t="s">
        <v>327</v>
      </c>
      <c r="B72" s="194">
        <v>0.66666668653488159</v>
      </c>
      <c r="C72" s="194">
        <v>0.3333333432674408</v>
      </c>
      <c r="D72" s="194">
        <v>3</v>
      </c>
      <c r="E72" s="194">
        <v>0.6388888955116272</v>
      </c>
      <c r="F72" s="194">
        <v>0.72222220897674561</v>
      </c>
      <c r="G72" s="194">
        <v>18</v>
      </c>
      <c r="H72" s="194">
        <v>0.70454543828964233</v>
      </c>
      <c r="I72" s="194">
        <v>0.60000002384185791</v>
      </c>
      <c r="J72" s="194">
        <v>15</v>
      </c>
      <c r="K72" s="194">
        <v>0.63157892227172852</v>
      </c>
      <c r="L72" s="194">
        <v>0.81818181276321411</v>
      </c>
      <c r="M72" s="194">
        <v>11</v>
      </c>
      <c r="N72" s="194">
        <v>0.52499997615814209</v>
      </c>
      <c r="O72" s="194">
        <v>0.5</v>
      </c>
      <c r="P72" s="194">
        <v>12</v>
      </c>
      <c r="Q72" s="194">
        <v>0.4523809552192688</v>
      </c>
      <c r="R72" s="194">
        <v>0.35294118523597717</v>
      </c>
      <c r="S72" s="194">
        <v>17</v>
      </c>
      <c r="T72" s="194">
        <v>0.43181818723678589</v>
      </c>
      <c r="U72" s="194">
        <v>0.53846156597137451</v>
      </c>
      <c r="V72" s="194">
        <v>13</v>
      </c>
      <c r="W72" s="194">
        <v>0.56818181276321411</v>
      </c>
      <c r="X72" s="194">
        <v>0.4285714328289032</v>
      </c>
      <c r="Y72" s="194">
        <v>14</v>
      </c>
      <c r="Z72" s="194">
        <v>0.61363637447357178</v>
      </c>
      <c r="AA72" s="194">
        <v>0.70588237047195435</v>
      </c>
      <c r="AB72" s="194">
        <v>17</v>
      </c>
      <c r="AC72" s="194">
        <v>0.75609755516052246</v>
      </c>
      <c r="AD72" s="194">
        <v>0.69230771064758301</v>
      </c>
      <c r="AE72" s="194">
        <v>13</v>
      </c>
      <c r="AF72" s="194">
        <v>0.75757575035095215</v>
      </c>
      <c r="AG72" s="194">
        <v>0.90909093618392944</v>
      </c>
      <c r="AH72" s="194">
        <v>11</v>
      </c>
      <c r="AI72" s="194">
        <v>0.80000001192092896</v>
      </c>
      <c r="AJ72" s="194">
        <v>0.66666668653488159</v>
      </c>
      <c r="AK72" s="194">
        <v>9</v>
      </c>
      <c r="AL72" s="140"/>
      <c r="AM72" s="140"/>
      <c r="AN72" s="140"/>
      <c r="AO72" s="140"/>
      <c r="AP72" s="140"/>
      <c r="AQ72" s="140"/>
      <c r="AR72" s="140"/>
      <c r="AS72" s="140"/>
      <c r="AT72" s="140"/>
      <c r="AU72" s="140"/>
      <c r="AV72" s="140"/>
      <c r="AW72" s="140"/>
      <c r="AX72" s="140"/>
      <c r="AY72" s="140"/>
      <c r="AZ72" s="140"/>
      <c r="BA72" s="140"/>
      <c r="BB72" s="140"/>
      <c r="BC72" s="140"/>
      <c r="BD72" s="140"/>
      <c r="BE72" s="140"/>
      <c r="BF72" s="140"/>
      <c r="BG72" s="140"/>
      <c r="BH72" s="140"/>
      <c r="BI72" s="140"/>
    </row>
    <row r="73" spans="1:61" x14ac:dyDescent="0.3">
      <c r="A73" s="193" t="s">
        <v>492</v>
      </c>
      <c r="B73" s="194">
        <v>0.54166668653488159</v>
      </c>
      <c r="C73" s="194">
        <v>0.76923078298568726</v>
      </c>
      <c r="D73" s="194">
        <v>13</v>
      </c>
      <c r="E73" s="194">
        <v>0.38461539149284363</v>
      </c>
      <c r="F73" s="194">
        <v>0.27272728085517883</v>
      </c>
      <c r="G73" s="194">
        <v>11</v>
      </c>
      <c r="H73" s="194">
        <v>0.23076923191547394</v>
      </c>
      <c r="I73" s="194">
        <v>0.13333334028720856</v>
      </c>
      <c r="J73" s="194">
        <v>15</v>
      </c>
      <c r="K73" s="194">
        <v>0.3174603283405304</v>
      </c>
      <c r="L73" s="194">
        <v>0.26923078298568726</v>
      </c>
      <c r="M73" s="194">
        <v>26</v>
      </c>
      <c r="N73" s="194">
        <v>0.47368422150611877</v>
      </c>
      <c r="O73" s="194">
        <v>0.5</v>
      </c>
      <c r="P73" s="194">
        <v>22</v>
      </c>
      <c r="Q73" s="194">
        <v>0.58823531866073608</v>
      </c>
      <c r="R73" s="194">
        <v>0.6428571343421936</v>
      </c>
      <c r="S73" s="194">
        <v>28</v>
      </c>
      <c r="T73" s="194">
        <v>0.67241376638412476</v>
      </c>
      <c r="U73" s="194">
        <v>0.6111111044883728</v>
      </c>
      <c r="V73" s="194">
        <v>18</v>
      </c>
      <c r="W73" s="194">
        <v>0.77083331346511841</v>
      </c>
      <c r="X73" s="194">
        <v>0.83333331346511841</v>
      </c>
      <c r="Y73" s="194">
        <v>12</v>
      </c>
      <c r="Z73" s="194">
        <v>0.77586209774017334</v>
      </c>
      <c r="AA73" s="194">
        <v>0.8888888955116272</v>
      </c>
      <c r="AB73" s="194">
        <v>18</v>
      </c>
      <c r="AC73" s="194">
        <v>0.79365080595016479</v>
      </c>
      <c r="AD73" s="194">
        <v>0.67857140302658081</v>
      </c>
      <c r="AE73" s="194">
        <v>28</v>
      </c>
      <c r="AF73" s="194">
        <v>0.7761194109916687</v>
      </c>
      <c r="AG73" s="194">
        <v>0.88235294818878174</v>
      </c>
      <c r="AH73" s="194">
        <v>17</v>
      </c>
      <c r="AI73" s="194">
        <v>0.8461538553237915</v>
      </c>
      <c r="AJ73" s="194">
        <v>0.81818181276321411</v>
      </c>
      <c r="AK73" s="194">
        <v>22</v>
      </c>
      <c r="AL73" s="140"/>
      <c r="AM73" s="140"/>
      <c r="AN73" s="140"/>
      <c r="AO73" s="140"/>
      <c r="AP73" s="140"/>
      <c r="AQ73" s="140"/>
      <c r="AR73" s="140"/>
      <c r="AS73" s="140"/>
      <c r="AT73" s="140"/>
      <c r="AU73" s="140"/>
      <c r="AV73" s="140"/>
      <c r="AW73" s="140"/>
      <c r="AX73" s="140"/>
      <c r="AY73" s="140"/>
      <c r="AZ73" s="140"/>
      <c r="BA73" s="140"/>
      <c r="BB73" s="140"/>
      <c r="BC73" s="140"/>
      <c r="BD73" s="140"/>
      <c r="BE73" s="140"/>
      <c r="BF73" s="140"/>
      <c r="BG73" s="140"/>
      <c r="BH73" s="140"/>
      <c r="BI73" s="140"/>
    </row>
    <row r="74" spans="1:61" x14ac:dyDescent="0.3">
      <c r="A74" s="193" t="s">
        <v>418</v>
      </c>
      <c r="B74" s="194">
        <v>0.15789473056793213</v>
      </c>
      <c r="C74" s="194">
        <v>0.27272728085517883</v>
      </c>
      <c r="D74" s="194">
        <v>11</v>
      </c>
      <c r="E74" s="194">
        <v>0.17241379618644714</v>
      </c>
      <c r="F74" s="194">
        <v>0</v>
      </c>
      <c r="G74" s="194">
        <v>8</v>
      </c>
      <c r="H74" s="194">
        <v>0.16129031777381897</v>
      </c>
      <c r="I74" s="194">
        <v>0.20000000298023224</v>
      </c>
      <c r="J74" s="194">
        <v>10</v>
      </c>
      <c r="K74" s="194">
        <v>0.29032257199287415</v>
      </c>
      <c r="L74" s="194">
        <v>0.23076923191547394</v>
      </c>
      <c r="M74" s="194">
        <v>13</v>
      </c>
      <c r="N74" s="194">
        <v>0.26666668057441711</v>
      </c>
      <c r="O74" s="194">
        <v>0.5</v>
      </c>
      <c r="P74" s="194">
        <v>8</v>
      </c>
      <c r="Q74" s="194">
        <v>0.40000000596046448</v>
      </c>
      <c r="R74" s="194">
        <v>0.1111111119389534</v>
      </c>
      <c r="S74" s="194">
        <v>9</v>
      </c>
      <c r="T74" s="194">
        <v>0.40625</v>
      </c>
      <c r="U74" s="194">
        <v>0.625</v>
      </c>
      <c r="V74" s="194">
        <v>8</v>
      </c>
      <c r="W74" s="194">
        <v>0.43243244290351868</v>
      </c>
      <c r="X74" s="194">
        <v>0.46666666865348816</v>
      </c>
      <c r="Y74" s="194">
        <v>15</v>
      </c>
      <c r="Z74" s="194">
        <v>0.28947368264198303</v>
      </c>
      <c r="AA74" s="194">
        <v>0.28571429848670959</v>
      </c>
      <c r="AB74" s="194">
        <v>14</v>
      </c>
      <c r="AC74" s="194">
        <v>0.21875</v>
      </c>
      <c r="AD74" s="194">
        <v>0</v>
      </c>
      <c r="AE74" s="194">
        <v>9</v>
      </c>
      <c r="AF74" s="194">
        <v>0.2083333283662796</v>
      </c>
      <c r="AG74" s="194">
        <v>0.3333333432674408</v>
      </c>
      <c r="AH74" s="194">
        <v>9</v>
      </c>
      <c r="AI74" s="194">
        <v>0.3333333432674408</v>
      </c>
      <c r="AJ74" s="194">
        <v>0.3333333432674408</v>
      </c>
      <c r="AK74" s="194">
        <v>6</v>
      </c>
      <c r="AL74" s="140"/>
      <c r="AM74" s="140"/>
      <c r="AN74" s="140"/>
      <c r="AO74" s="140"/>
      <c r="AP74" s="140"/>
      <c r="AQ74" s="140"/>
      <c r="AR74" s="140"/>
      <c r="AS74" s="140"/>
      <c r="AT74" s="140"/>
      <c r="AU74" s="140"/>
      <c r="AV74" s="140"/>
      <c r="AW74" s="140"/>
      <c r="AX74" s="140"/>
      <c r="AY74" s="140"/>
      <c r="AZ74" s="140"/>
      <c r="BA74" s="140"/>
      <c r="BB74" s="140"/>
      <c r="BC74" s="140"/>
      <c r="BD74" s="140"/>
      <c r="BE74" s="140"/>
      <c r="BF74" s="140"/>
      <c r="BG74" s="140"/>
      <c r="BH74" s="140"/>
      <c r="BI74" s="140"/>
    </row>
    <row r="75" spans="1:61" x14ac:dyDescent="0.3">
      <c r="A75" s="193" t="s">
        <v>382</v>
      </c>
      <c r="B75" s="194">
        <v>0.17647059261798859</v>
      </c>
      <c r="C75" s="194">
        <v>0.125</v>
      </c>
      <c r="D75" s="194">
        <v>8</v>
      </c>
      <c r="E75" s="194">
        <v>0.15999999642372131</v>
      </c>
      <c r="F75" s="194">
        <v>0.2222222238779068</v>
      </c>
      <c r="G75" s="194">
        <v>9</v>
      </c>
      <c r="H75" s="194">
        <v>0.25</v>
      </c>
      <c r="I75" s="194">
        <v>0.125</v>
      </c>
      <c r="J75" s="194">
        <v>8</v>
      </c>
      <c r="K75" s="194">
        <v>0.20000000298023224</v>
      </c>
      <c r="L75" s="194">
        <v>0.4285714328289032</v>
      </c>
      <c r="M75" s="194">
        <v>7</v>
      </c>
      <c r="N75" s="194">
        <v>0.32258063554763794</v>
      </c>
      <c r="O75" s="194">
        <v>0.13333334028720856</v>
      </c>
      <c r="P75" s="194">
        <v>15</v>
      </c>
      <c r="Q75" s="194">
        <v>0.3333333432674408</v>
      </c>
      <c r="R75" s="194">
        <v>0.55555558204650879</v>
      </c>
      <c r="S75" s="194">
        <v>9</v>
      </c>
      <c r="T75" s="194">
        <v>0.5</v>
      </c>
      <c r="U75" s="194">
        <v>0.5</v>
      </c>
      <c r="V75" s="194">
        <v>6</v>
      </c>
      <c r="W75" s="194">
        <v>0.45454546809196472</v>
      </c>
      <c r="X75" s="194">
        <v>0.40000000596046448</v>
      </c>
      <c r="Y75" s="194">
        <v>5</v>
      </c>
      <c r="Z75" s="194">
        <v>0.51851850748062134</v>
      </c>
      <c r="AA75" s="194">
        <v>0.45454546809196472</v>
      </c>
      <c r="AB75" s="194">
        <v>11</v>
      </c>
      <c r="AC75" s="194">
        <v>0.64705884456634521</v>
      </c>
      <c r="AD75" s="194">
        <v>0.63636362552642822</v>
      </c>
      <c r="AE75" s="194">
        <v>11</v>
      </c>
      <c r="AF75" s="194">
        <v>0.82857143878936768</v>
      </c>
      <c r="AG75" s="194">
        <v>0.83333331346511841</v>
      </c>
      <c r="AH75" s="194">
        <v>12</v>
      </c>
      <c r="AI75" s="194">
        <v>0.91666668653488159</v>
      </c>
      <c r="AJ75" s="194">
        <v>1</v>
      </c>
      <c r="AK75" s="194">
        <v>12</v>
      </c>
      <c r="AL75" s="140"/>
      <c r="AM75" s="140"/>
      <c r="AN75" s="140"/>
      <c r="AO75" s="140"/>
      <c r="AP75" s="140"/>
      <c r="AQ75" s="140"/>
      <c r="AR75" s="140"/>
      <c r="AS75" s="140"/>
      <c r="AT75" s="140"/>
      <c r="AU75" s="140"/>
      <c r="AV75" s="140"/>
      <c r="AW75" s="140"/>
      <c r="AX75" s="140"/>
      <c r="AY75" s="140"/>
      <c r="AZ75" s="140"/>
      <c r="BA75" s="140"/>
      <c r="BB75" s="140"/>
      <c r="BC75" s="140"/>
      <c r="BD75" s="140"/>
      <c r="BE75" s="140"/>
      <c r="BF75" s="140"/>
      <c r="BG75" s="140"/>
      <c r="BH75" s="140"/>
      <c r="BI75" s="140"/>
    </row>
    <row r="76" spans="1:61" x14ac:dyDescent="0.3">
      <c r="A76" s="193" t="s">
        <v>427</v>
      </c>
      <c r="B76" s="194">
        <v>0.55555558204650879</v>
      </c>
      <c r="C76" s="194">
        <v>0.27272728085517883</v>
      </c>
      <c r="D76" s="194">
        <v>11</v>
      </c>
      <c r="E76" s="194">
        <v>0.56756758689880371</v>
      </c>
      <c r="F76" s="194">
        <v>0.75</v>
      </c>
      <c r="G76" s="194">
        <v>16</v>
      </c>
      <c r="H76" s="194">
        <v>0.68181818723678589</v>
      </c>
      <c r="I76" s="194">
        <v>0.60000002384185791</v>
      </c>
      <c r="J76" s="194">
        <v>10</v>
      </c>
      <c r="K76" s="194">
        <v>0.58536583185195923</v>
      </c>
      <c r="L76" s="194">
        <v>0.66666668653488159</v>
      </c>
      <c r="M76" s="194">
        <v>18</v>
      </c>
      <c r="N76" s="194">
        <v>0.62222224473953247</v>
      </c>
      <c r="O76" s="194">
        <v>0.46153846383094788</v>
      </c>
      <c r="P76" s="194">
        <v>13</v>
      </c>
      <c r="Q76" s="194">
        <v>0.66666668653488159</v>
      </c>
      <c r="R76" s="194">
        <v>0.71428573131561279</v>
      </c>
      <c r="S76" s="194">
        <v>14</v>
      </c>
      <c r="T76" s="194">
        <v>0.79411762952804565</v>
      </c>
      <c r="U76" s="194">
        <v>1</v>
      </c>
      <c r="V76" s="194">
        <v>6</v>
      </c>
      <c r="W76" s="194">
        <v>0.73333334922790527</v>
      </c>
      <c r="X76" s="194">
        <v>0.78571426868438721</v>
      </c>
      <c r="Y76" s="194">
        <v>14</v>
      </c>
      <c r="Z76" s="194">
        <v>0.69444441795349121</v>
      </c>
      <c r="AA76" s="194">
        <v>0.5</v>
      </c>
      <c r="AB76" s="194">
        <v>10</v>
      </c>
      <c r="AC76" s="194">
        <v>0.76744186878204346</v>
      </c>
      <c r="AD76" s="194">
        <v>0.75</v>
      </c>
      <c r="AE76" s="194">
        <v>12</v>
      </c>
      <c r="AF76" s="194">
        <v>0.80434781312942505</v>
      </c>
      <c r="AG76" s="194">
        <v>0.9047619104385376</v>
      </c>
      <c r="AH76" s="194">
        <v>21</v>
      </c>
      <c r="AI76" s="194">
        <v>0.82352942228317261</v>
      </c>
      <c r="AJ76" s="194">
        <v>0.69230771064758301</v>
      </c>
      <c r="AK76" s="194">
        <v>13</v>
      </c>
      <c r="AL76" s="140"/>
      <c r="AM76" s="140"/>
      <c r="AN76" s="140"/>
      <c r="AO76" s="140"/>
      <c r="AP76" s="140"/>
      <c r="AQ76" s="140"/>
      <c r="AR76" s="140"/>
      <c r="AS76" s="140"/>
      <c r="AT76" s="140"/>
      <c r="AU76" s="140"/>
      <c r="AV76" s="140"/>
      <c r="AW76" s="140"/>
      <c r="AX76" s="140"/>
      <c r="AY76" s="140"/>
      <c r="AZ76" s="140"/>
      <c r="BA76" s="140"/>
      <c r="BB76" s="140"/>
      <c r="BC76" s="140"/>
      <c r="BD76" s="140"/>
      <c r="BE76" s="140"/>
      <c r="BF76" s="140"/>
      <c r="BG76" s="140"/>
      <c r="BH76" s="140"/>
      <c r="BI76" s="140"/>
    </row>
    <row r="77" spans="1:61" x14ac:dyDescent="0.3">
      <c r="A77" s="193" t="s">
        <v>458</v>
      </c>
      <c r="B77" s="194">
        <v>0.375</v>
      </c>
      <c r="C77" s="194">
        <v>0.25</v>
      </c>
      <c r="D77" s="194">
        <v>8</v>
      </c>
      <c r="E77" s="194">
        <v>0.4583333432674408</v>
      </c>
      <c r="F77" s="194">
        <v>0.5</v>
      </c>
      <c r="G77" s="194">
        <v>8</v>
      </c>
      <c r="H77" s="194">
        <v>0.59259259700775146</v>
      </c>
      <c r="I77" s="194">
        <v>0.625</v>
      </c>
      <c r="J77" s="194">
        <v>8</v>
      </c>
      <c r="K77" s="194">
        <v>0.62962961196899414</v>
      </c>
      <c r="L77" s="194">
        <v>0.63636362552642822</v>
      </c>
      <c r="M77" s="194">
        <v>11</v>
      </c>
      <c r="N77" s="194">
        <v>0.57142859697341919</v>
      </c>
      <c r="O77" s="194">
        <v>0.625</v>
      </c>
      <c r="P77" s="194">
        <v>8</v>
      </c>
      <c r="Q77" s="194">
        <v>0.42307692766189575</v>
      </c>
      <c r="R77" s="194">
        <v>0.4444444477558136</v>
      </c>
      <c r="S77" s="194">
        <v>9</v>
      </c>
      <c r="T77" s="194">
        <v>0.29629629850387573</v>
      </c>
      <c r="U77" s="194">
        <v>0.2222222238779068</v>
      </c>
      <c r="V77" s="194">
        <v>9</v>
      </c>
      <c r="W77" s="194">
        <v>0.34482759237289429</v>
      </c>
      <c r="X77" s="194">
        <v>0.2222222238779068</v>
      </c>
      <c r="Y77" s="194">
        <v>9</v>
      </c>
      <c r="Z77" s="194">
        <v>0.5</v>
      </c>
      <c r="AA77" s="194">
        <v>0.54545456171035767</v>
      </c>
      <c r="AB77" s="194">
        <v>11</v>
      </c>
      <c r="AC77" s="194">
        <v>0.58064514398574829</v>
      </c>
      <c r="AD77" s="194">
        <v>0.69999998807907104</v>
      </c>
      <c r="AE77" s="194">
        <v>10</v>
      </c>
      <c r="AF77" s="194">
        <v>0.48387095332145691</v>
      </c>
      <c r="AG77" s="194">
        <v>0.5</v>
      </c>
      <c r="AH77" s="194">
        <v>10</v>
      </c>
      <c r="AI77" s="194">
        <v>0.380952388048172</v>
      </c>
      <c r="AJ77" s="194">
        <v>0.27272728085517883</v>
      </c>
      <c r="AK77" s="194">
        <v>11</v>
      </c>
      <c r="AL77" s="140"/>
      <c r="AM77" s="140"/>
      <c r="AN77" s="140"/>
      <c r="AO77" s="140"/>
      <c r="AP77" s="140"/>
      <c r="AQ77" s="140"/>
      <c r="AR77" s="140"/>
      <c r="AS77" s="140"/>
      <c r="AT77" s="140"/>
      <c r="AU77" s="140"/>
      <c r="AV77" s="140"/>
      <c r="AW77" s="140"/>
      <c r="AX77" s="140"/>
      <c r="AY77" s="140"/>
      <c r="AZ77" s="140"/>
      <c r="BA77" s="140"/>
      <c r="BB77" s="140"/>
      <c r="BC77" s="140"/>
      <c r="BD77" s="140"/>
      <c r="BE77" s="140"/>
      <c r="BF77" s="140"/>
      <c r="BG77" s="140"/>
      <c r="BH77" s="140"/>
      <c r="BI77" s="140"/>
    </row>
    <row r="78" spans="1:61" x14ac:dyDescent="0.3">
      <c r="A78" s="193" t="s">
        <v>330</v>
      </c>
      <c r="B78" s="194">
        <v>0.21739129722118378</v>
      </c>
      <c r="C78" s="194">
        <v>0.2083333283662796</v>
      </c>
      <c r="D78" s="194">
        <v>24</v>
      </c>
      <c r="E78" s="194">
        <v>0.23287671804428101</v>
      </c>
      <c r="F78" s="194">
        <v>0.22727273404598236</v>
      </c>
      <c r="G78" s="194">
        <v>22</v>
      </c>
      <c r="H78" s="194">
        <v>0.21212121844291687</v>
      </c>
      <c r="I78" s="194">
        <v>0.25925925374031067</v>
      </c>
      <c r="J78" s="194">
        <v>27</v>
      </c>
      <c r="K78" s="194">
        <v>0.2321428507566452</v>
      </c>
      <c r="L78" s="194">
        <v>0.11764705926179886</v>
      </c>
      <c r="M78" s="194">
        <v>17</v>
      </c>
      <c r="N78" s="194">
        <v>0.21276596188545227</v>
      </c>
      <c r="O78" s="194">
        <v>0.3333333432674408</v>
      </c>
      <c r="P78" s="194">
        <v>12</v>
      </c>
      <c r="Q78" s="194">
        <v>0.20408163964748383</v>
      </c>
      <c r="R78" s="194">
        <v>0.2222222238779068</v>
      </c>
      <c r="S78" s="194">
        <v>18</v>
      </c>
      <c r="T78" s="194">
        <v>0.15517240762710571</v>
      </c>
      <c r="U78" s="194">
        <v>0.10526315867900848</v>
      </c>
      <c r="V78" s="194">
        <v>19</v>
      </c>
      <c r="W78" s="194">
        <v>0.1746031790971756</v>
      </c>
      <c r="X78" s="194">
        <v>0.1428571492433548</v>
      </c>
      <c r="Y78" s="194">
        <v>21</v>
      </c>
      <c r="Z78" s="194">
        <v>0.28787878155708313</v>
      </c>
      <c r="AA78" s="194">
        <v>0.26086956262588501</v>
      </c>
      <c r="AB78" s="194">
        <v>23</v>
      </c>
      <c r="AC78" s="194">
        <v>0.39726027846336365</v>
      </c>
      <c r="AD78" s="194">
        <v>0.45454546809196472</v>
      </c>
      <c r="AE78" s="194">
        <v>22</v>
      </c>
      <c r="AF78" s="194">
        <v>0.43939393758773804</v>
      </c>
      <c r="AG78" s="194">
        <v>0.46428570151329041</v>
      </c>
      <c r="AH78" s="194">
        <v>28</v>
      </c>
      <c r="AI78" s="194">
        <v>0.43181818723678589</v>
      </c>
      <c r="AJ78" s="194">
        <v>0.375</v>
      </c>
      <c r="AK78" s="194">
        <v>16</v>
      </c>
      <c r="AL78" s="140"/>
      <c r="AM78" s="140"/>
      <c r="AN78" s="140"/>
      <c r="AO78" s="140"/>
      <c r="AP78" s="140"/>
      <c r="AQ78" s="140"/>
      <c r="AR78" s="140"/>
      <c r="AS78" s="140"/>
      <c r="AT78" s="140"/>
      <c r="AU78" s="140"/>
      <c r="AV78" s="140"/>
      <c r="AW78" s="140"/>
      <c r="AX78" s="140"/>
      <c r="AY78" s="140"/>
      <c r="AZ78" s="140"/>
      <c r="BA78" s="140"/>
      <c r="BB78" s="140"/>
      <c r="BC78" s="140"/>
      <c r="BD78" s="140"/>
      <c r="BE78" s="140"/>
      <c r="BF78" s="140"/>
      <c r="BG78" s="140"/>
      <c r="BH78" s="140"/>
      <c r="BI78" s="140"/>
    </row>
    <row r="79" spans="1:61" x14ac:dyDescent="0.3">
      <c r="A79" s="193" t="s">
        <v>404</v>
      </c>
      <c r="B79" s="194">
        <v>0.25</v>
      </c>
      <c r="C79" s="194">
        <v>0.20000000298023224</v>
      </c>
      <c r="D79" s="194">
        <v>10</v>
      </c>
      <c r="E79" s="194">
        <v>0.34883719682693481</v>
      </c>
      <c r="F79" s="194">
        <v>0.28571429848670959</v>
      </c>
      <c r="G79" s="194">
        <v>14</v>
      </c>
      <c r="H79" s="194">
        <v>0.53703701496124268</v>
      </c>
      <c r="I79" s="194">
        <v>0.47368422150611877</v>
      </c>
      <c r="J79" s="194">
        <v>19</v>
      </c>
      <c r="K79" s="194">
        <v>0.60344827175140381</v>
      </c>
      <c r="L79" s="194">
        <v>0.76190477609634399</v>
      </c>
      <c r="M79" s="194">
        <v>21</v>
      </c>
      <c r="N79" s="194">
        <v>0.64705884456634521</v>
      </c>
      <c r="O79" s="194">
        <v>0.55555558204650879</v>
      </c>
      <c r="P79" s="194">
        <v>18</v>
      </c>
      <c r="Q79" s="194">
        <v>0.5961538553237915</v>
      </c>
      <c r="R79" s="194">
        <v>0.58333331346511841</v>
      </c>
      <c r="S79" s="194">
        <v>12</v>
      </c>
      <c r="T79" s="194">
        <v>0.625</v>
      </c>
      <c r="U79" s="194">
        <v>0.63636362552642822</v>
      </c>
      <c r="V79" s="194">
        <v>22</v>
      </c>
      <c r="W79" s="194">
        <v>0.60563379526138306</v>
      </c>
      <c r="X79" s="194">
        <v>0.63636362552642822</v>
      </c>
      <c r="Y79" s="194">
        <v>22</v>
      </c>
      <c r="Z79" s="194">
        <v>0.625</v>
      </c>
      <c r="AA79" s="194">
        <v>0.55555558204650879</v>
      </c>
      <c r="AB79" s="194">
        <v>27</v>
      </c>
      <c r="AC79" s="194">
        <v>0.625</v>
      </c>
      <c r="AD79" s="194">
        <v>0.69565218687057495</v>
      </c>
      <c r="AE79" s="194">
        <v>23</v>
      </c>
      <c r="AF79" s="194">
        <v>0.64705884456634521</v>
      </c>
      <c r="AG79" s="194">
        <v>0.63636362552642822</v>
      </c>
      <c r="AH79" s="194">
        <v>22</v>
      </c>
      <c r="AI79" s="194">
        <v>0.62222224473953247</v>
      </c>
      <c r="AJ79" s="194">
        <v>0.6086956262588501</v>
      </c>
      <c r="AK79" s="194">
        <v>23</v>
      </c>
      <c r="AL79" s="140"/>
      <c r="AM79" s="140"/>
      <c r="AN79" s="140"/>
      <c r="AO79" s="140"/>
      <c r="AP79" s="140"/>
      <c r="AQ79" s="140"/>
      <c r="AR79" s="140"/>
      <c r="AS79" s="140"/>
      <c r="AT79" s="140"/>
      <c r="AU79" s="140"/>
      <c r="AV79" s="140"/>
      <c r="AW79" s="140"/>
      <c r="AX79" s="140"/>
      <c r="AY79" s="140"/>
      <c r="AZ79" s="140"/>
      <c r="BA79" s="140"/>
      <c r="BB79" s="140"/>
      <c r="BC79" s="140"/>
      <c r="BD79" s="140"/>
      <c r="BE79" s="140"/>
      <c r="BF79" s="140"/>
      <c r="BG79" s="140"/>
      <c r="BH79" s="140"/>
      <c r="BI79" s="140"/>
    </row>
    <row r="80" spans="1:61" x14ac:dyDescent="0.3">
      <c r="A80" s="193" t="s">
        <v>504</v>
      </c>
      <c r="B80" s="194">
        <v>0.1111111119389534</v>
      </c>
      <c r="C80" s="194">
        <v>0.125</v>
      </c>
      <c r="D80" s="194">
        <v>8</v>
      </c>
      <c r="E80" s="194">
        <v>0.15625</v>
      </c>
      <c r="F80" s="194">
        <v>0.10000000149011612</v>
      </c>
      <c r="G80" s="194">
        <v>10</v>
      </c>
      <c r="H80" s="194">
        <v>0.11764705926179886</v>
      </c>
      <c r="I80" s="194">
        <v>0.2142857164144516</v>
      </c>
      <c r="J80" s="194">
        <v>14</v>
      </c>
      <c r="K80" s="194">
        <v>0.10000000149011612</v>
      </c>
      <c r="L80" s="194">
        <v>0</v>
      </c>
      <c r="M80" s="194">
        <v>10</v>
      </c>
      <c r="N80" s="194">
        <v>3.9999999105930328E-2</v>
      </c>
      <c r="O80" s="194">
        <v>0</v>
      </c>
      <c r="P80" s="194">
        <v>6</v>
      </c>
      <c r="Q80" s="194">
        <v>9.5238097012042999E-2</v>
      </c>
      <c r="R80" s="194">
        <v>0.1111111119389534</v>
      </c>
      <c r="S80" s="194">
        <v>9</v>
      </c>
      <c r="T80" s="194">
        <v>8.6956523358821869E-2</v>
      </c>
      <c r="U80" s="194">
        <v>0.1666666716337204</v>
      </c>
      <c r="V80" s="194">
        <v>6</v>
      </c>
      <c r="W80" s="194">
        <v>4.76190485060215E-2</v>
      </c>
      <c r="X80" s="194">
        <v>0</v>
      </c>
      <c r="Y80" s="194">
        <v>8</v>
      </c>
      <c r="Z80" s="194">
        <v>7.1428574621677399E-2</v>
      </c>
      <c r="AA80" s="194">
        <v>0</v>
      </c>
      <c r="AB80" s="194">
        <v>7</v>
      </c>
      <c r="AC80" s="194">
        <v>6.25E-2</v>
      </c>
      <c r="AD80" s="194">
        <v>0.15384615957736969</v>
      </c>
      <c r="AE80" s="194">
        <v>13</v>
      </c>
      <c r="AF80" s="194">
        <v>7.6923079788684845E-2</v>
      </c>
      <c r="AG80" s="194">
        <v>0</v>
      </c>
      <c r="AH80" s="194">
        <v>12</v>
      </c>
      <c r="AI80" s="194">
        <v>3.8461539894342422E-2</v>
      </c>
      <c r="AJ80" s="194">
        <v>7.1428574621677399E-2</v>
      </c>
      <c r="AK80" s="194">
        <v>14</v>
      </c>
      <c r="AL80" s="140"/>
      <c r="AM80" s="140"/>
      <c r="AN80" s="140"/>
      <c r="AO80" s="140"/>
      <c r="AP80" s="140"/>
      <c r="AQ80" s="140"/>
      <c r="AR80" s="140"/>
      <c r="AS80" s="140"/>
      <c r="AT80" s="140"/>
      <c r="AU80" s="140"/>
      <c r="AV80" s="140"/>
      <c r="AW80" s="140"/>
      <c r="AX80" s="140"/>
      <c r="AY80" s="140"/>
      <c r="AZ80" s="140"/>
      <c r="BA80" s="140"/>
      <c r="BB80" s="140"/>
      <c r="BC80" s="140"/>
      <c r="BD80" s="140"/>
      <c r="BE80" s="140"/>
      <c r="BF80" s="140"/>
      <c r="BG80" s="140"/>
      <c r="BH80" s="140"/>
      <c r="BI80" s="140"/>
    </row>
    <row r="81" spans="1:61" x14ac:dyDescent="0.3">
      <c r="A81" s="193" t="s">
        <v>310</v>
      </c>
      <c r="B81" s="194">
        <v>0.30000001192092896</v>
      </c>
      <c r="C81" s="194">
        <v>0.4166666567325592</v>
      </c>
      <c r="D81" s="194">
        <v>12</v>
      </c>
      <c r="E81" s="194">
        <v>0.3214285671710968</v>
      </c>
      <c r="F81" s="194">
        <v>0.125</v>
      </c>
      <c r="G81" s="194">
        <v>8</v>
      </c>
      <c r="H81" s="194">
        <v>0.31818181276321411</v>
      </c>
      <c r="I81" s="194">
        <v>0.375</v>
      </c>
      <c r="J81" s="194">
        <v>8</v>
      </c>
      <c r="K81" s="194">
        <v>0.43999999761581421</v>
      </c>
      <c r="L81" s="194">
        <v>0.5</v>
      </c>
      <c r="M81" s="194">
        <v>6</v>
      </c>
      <c r="N81" s="194">
        <v>0.51851850748062134</v>
      </c>
      <c r="O81" s="194">
        <v>0.45454546809196472</v>
      </c>
      <c r="P81" s="194">
        <v>11</v>
      </c>
      <c r="Q81" s="194">
        <v>0.38709676265716553</v>
      </c>
      <c r="R81" s="194">
        <v>0.60000002384185791</v>
      </c>
      <c r="S81" s="194">
        <v>10</v>
      </c>
      <c r="T81" s="194">
        <v>0.3125</v>
      </c>
      <c r="U81" s="194">
        <v>0.10000000149011612</v>
      </c>
      <c r="V81" s="194">
        <v>10</v>
      </c>
      <c r="W81" s="194">
        <v>0.3095238208770752</v>
      </c>
      <c r="X81" s="194">
        <v>0.25</v>
      </c>
      <c r="Y81" s="194">
        <v>12</v>
      </c>
      <c r="Z81" s="194">
        <v>0.40425533056259155</v>
      </c>
      <c r="AA81" s="194">
        <v>0.44999998807907104</v>
      </c>
      <c r="AB81" s="194">
        <v>20</v>
      </c>
      <c r="AC81" s="194">
        <v>0.4583333432674408</v>
      </c>
      <c r="AD81" s="194">
        <v>0.46666666865348816</v>
      </c>
      <c r="AE81" s="194">
        <v>15</v>
      </c>
      <c r="AF81" s="194">
        <v>0.40425533056259155</v>
      </c>
      <c r="AG81" s="194">
        <v>0.46153846383094788</v>
      </c>
      <c r="AH81" s="194">
        <v>13</v>
      </c>
      <c r="AI81" s="194">
        <v>0.375</v>
      </c>
      <c r="AJ81" s="194">
        <v>0.31578946113586426</v>
      </c>
      <c r="AK81" s="194">
        <v>19</v>
      </c>
      <c r="AL81" s="140"/>
      <c r="AM81" s="140"/>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row>
    <row r="82" spans="1:61" x14ac:dyDescent="0.3">
      <c r="A82" s="193" t="s">
        <v>498</v>
      </c>
      <c r="B82" s="194">
        <v>0.5</v>
      </c>
      <c r="C82" s="194">
        <v>0.5</v>
      </c>
      <c r="D82" s="194">
        <v>2</v>
      </c>
      <c r="E82" s="194">
        <v>0.60000002384185791</v>
      </c>
      <c r="F82" s="194">
        <v>0.5</v>
      </c>
      <c r="G82" s="194">
        <v>2</v>
      </c>
      <c r="H82" s="194">
        <v>0.40000000596046448</v>
      </c>
      <c r="I82" s="194">
        <v>1</v>
      </c>
      <c r="J82" s="194">
        <v>1</v>
      </c>
      <c r="K82" s="194">
        <v>0.3333333432674408</v>
      </c>
      <c r="L82" s="194">
        <v>0</v>
      </c>
      <c r="M82" s="194">
        <v>2</v>
      </c>
      <c r="N82" s="194">
        <v>0.1666666716337204</v>
      </c>
      <c r="O82" s="194">
        <v>0.3333333432674408</v>
      </c>
      <c r="P82" s="194">
        <v>3</v>
      </c>
      <c r="Q82" s="194">
        <v>0.20000000298023224</v>
      </c>
      <c r="R82" s="194">
        <v>0</v>
      </c>
      <c r="S82" s="194">
        <v>1</v>
      </c>
      <c r="T82" s="194">
        <v>0</v>
      </c>
      <c r="U82" s="194">
        <v>0</v>
      </c>
      <c r="V82" s="194">
        <v>1</v>
      </c>
      <c r="W82" s="194">
        <v>0</v>
      </c>
      <c r="X82" s="194">
        <v>0</v>
      </c>
      <c r="Y82" s="194">
        <v>4</v>
      </c>
      <c r="Z82" s="194">
        <v>0.20000000298023224</v>
      </c>
      <c r="AA82" s="194"/>
      <c r="AB82" s="194"/>
      <c r="AC82" s="194">
        <v>0.25</v>
      </c>
      <c r="AD82" s="194">
        <v>1</v>
      </c>
      <c r="AE82" s="194">
        <v>1</v>
      </c>
      <c r="AF82" s="194">
        <v>0.40000000596046448</v>
      </c>
      <c r="AG82" s="194">
        <v>0</v>
      </c>
      <c r="AH82" s="194">
        <v>3</v>
      </c>
      <c r="AI82" s="194">
        <v>0.25</v>
      </c>
      <c r="AJ82" s="194">
        <v>1</v>
      </c>
      <c r="AK82" s="194">
        <v>1</v>
      </c>
      <c r="AL82" s="140"/>
      <c r="AM82" s="140"/>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row>
    <row r="83" spans="1:61" x14ac:dyDescent="0.3">
      <c r="A83" s="193" t="s">
        <v>372</v>
      </c>
      <c r="B83" s="194">
        <v>0.40000000596046448</v>
      </c>
      <c r="C83" s="194">
        <v>0.3333333432674408</v>
      </c>
      <c r="D83" s="194">
        <v>3</v>
      </c>
      <c r="E83" s="194">
        <v>0.3333333432674408</v>
      </c>
      <c r="F83" s="194">
        <v>0.5</v>
      </c>
      <c r="G83" s="194">
        <v>2</v>
      </c>
      <c r="H83" s="194">
        <v>0.27272728085517883</v>
      </c>
      <c r="I83" s="194">
        <v>0.25</v>
      </c>
      <c r="J83" s="194">
        <v>4</v>
      </c>
      <c r="K83" s="194">
        <v>0.3125</v>
      </c>
      <c r="L83" s="194">
        <v>0.20000000298023224</v>
      </c>
      <c r="M83" s="194">
        <v>5</v>
      </c>
      <c r="N83" s="194">
        <v>0.2222222238779068</v>
      </c>
      <c r="O83" s="194">
        <v>0.4285714328289032</v>
      </c>
      <c r="P83" s="194">
        <v>7</v>
      </c>
      <c r="Q83" s="194">
        <v>0.27272728085517883</v>
      </c>
      <c r="R83" s="194">
        <v>0</v>
      </c>
      <c r="S83" s="194">
        <v>6</v>
      </c>
      <c r="T83" s="194">
        <v>0.4583333432674408</v>
      </c>
      <c r="U83" s="194">
        <v>0.3333333432674408</v>
      </c>
      <c r="V83" s="194">
        <v>9</v>
      </c>
      <c r="W83" s="194">
        <v>0.56000000238418579</v>
      </c>
      <c r="X83" s="194">
        <v>0.8888888955116272</v>
      </c>
      <c r="Y83" s="194">
        <v>9</v>
      </c>
      <c r="Z83" s="194">
        <v>0.6086956262588501</v>
      </c>
      <c r="AA83" s="194">
        <v>0.4285714328289032</v>
      </c>
      <c r="AB83" s="194">
        <v>7</v>
      </c>
      <c r="AC83" s="194">
        <v>0.52380955219268799</v>
      </c>
      <c r="AD83" s="194">
        <v>0.4285714328289032</v>
      </c>
      <c r="AE83" s="194">
        <v>7</v>
      </c>
      <c r="AF83" s="194">
        <v>0.4166666567325592</v>
      </c>
      <c r="AG83" s="194">
        <v>0.71428573131561279</v>
      </c>
      <c r="AH83" s="194">
        <v>7</v>
      </c>
      <c r="AI83" s="194">
        <v>0.4117647111415863</v>
      </c>
      <c r="AJ83" s="194">
        <v>0.20000000298023224</v>
      </c>
      <c r="AK83" s="194">
        <v>10</v>
      </c>
      <c r="AL83" s="140"/>
      <c r="AM83" s="140"/>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row>
    <row r="84" spans="1:61" x14ac:dyDescent="0.3">
      <c r="A84" s="193" t="s">
        <v>354</v>
      </c>
      <c r="B84" s="194">
        <v>0.20000000298023224</v>
      </c>
      <c r="C84" s="194">
        <v>0.25</v>
      </c>
      <c r="D84" s="194">
        <v>4</v>
      </c>
      <c r="E84" s="194">
        <v>0.1666666716337204</v>
      </c>
      <c r="F84" s="194">
        <v>0</v>
      </c>
      <c r="G84" s="194">
        <v>1</v>
      </c>
      <c r="H84" s="194">
        <v>0.25</v>
      </c>
      <c r="I84" s="194">
        <v>0.1428571492433548</v>
      </c>
      <c r="J84" s="194">
        <v>7</v>
      </c>
      <c r="K84" s="194">
        <v>0.27777779102325439</v>
      </c>
      <c r="L84" s="194">
        <v>0.375</v>
      </c>
      <c r="M84" s="194">
        <v>8</v>
      </c>
      <c r="N84" s="194">
        <v>0.30769231915473938</v>
      </c>
      <c r="O84" s="194">
        <v>0.3333333432674408</v>
      </c>
      <c r="P84" s="194">
        <v>3</v>
      </c>
      <c r="Q84" s="194">
        <v>0.4285714328289032</v>
      </c>
      <c r="R84" s="194">
        <v>0</v>
      </c>
      <c r="S84" s="194">
        <v>2</v>
      </c>
      <c r="T84" s="194">
        <v>0.380952388048172</v>
      </c>
      <c r="U84" s="194">
        <v>0.55555558204650879</v>
      </c>
      <c r="V84" s="194">
        <v>9</v>
      </c>
      <c r="W84" s="194">
        <v>0.51999998092651367</v>
      </c>
      <c r="X84" s="194">
        <v>0.30000001192092896</v>
      </c>
      <c r="Y84" s="194">
        <v>10</v>
      </c>
      <c r="Z84" s="194">
        <v>0.47368422150611877</v>
      </c>
      <c r="AA84" s="194">
        <v>0.83333331346511841</v>
      </c>
      <c r="AB84" s="194">
        <v>6</v>
      </c>
      <c r="AC84" s="194">
        <v>0.5</v>
      </c>
      <c r="AD84" s="194">
        <v>0.3333333432674408</v>
      </c>
      <c r="AE84" s="194">
        <v>3</v>
      </c>
      <c r="AF84" s="194">
        <v>0.2222222238779068</v>
      </c>
      <c r="AG84" s="194">
        <v>0</v>
      </c>
      <c r="AH84" s="194">
        <v>3</v>
      </c>
      <c r="AI84" s="194">
        <v>0.1666666716337204</v>
      </c>
      <c r="AJ84" s="194">
        <v>0.3333333432674408</v>
      </c>
      <c r="AK84" s="194">
        <v>3</v>
      </c>
      <c r="AL84" s="140"/>
      <c r="AM84" s="140"/>
      <c r="AN84" s="140"/>
      <c r="AO84" s="140"/>
      <c r="AP84" s="140"/>
      <c r="AQ84" s="140"/>
      <c r="AR84" s="140"/>
      <c r="AS84" s="140"/>
      <c r="AT84" s="140"/>
      <c r="AU84" s="140"/>
      <c r="AV84" s="140"/>
      <c r="AW84" s="140"/>
      <c r="AX84" s="140"/>
      <c r="AY84" s="140"/>
      <c r="AZ84" s="140"/>
      <c r="BA84" s="140"/>
      <c r="BB84" s="140"/>
      <c r="BC84" s="140"/>
      <c r="BD84" s="140"/>
      <c r="BE84" s="140"/>
      <c r="BF84" s="140"/>
      <c r="BG84" s="140"/>
      <c r="BH84" s="140"/>
      <c r="BI84" s="140"/>
    </row>
    <row r="85" spans="1:61" x14ac:dyDescent="0.3">
      <c r="A85" s="193" t="s">
        <v>390</v>
      </c>
      <c r="B85" s="194">
        <v>0.73015874624252319</v>
      </c>
      <c r="C85" s="194">
        <v>0.86666667461395264</v>
      </c>
      <c r="D85" s="194">
        <v>30</v>
      </c>
      <c r="E85" s="194">
        <v>0.76288658380508423</v>
      </c>
      <c r="F85" s="194">
        <v>0.60606062412261963</v>
      </c>
      <c r="G85" s="194">
        <v>33</v>
      </c>
      <c r="H85" s="194">
        <v>0.69565218687057495</v>
      </c>
      <c r="I85" s="194">
        <v>0.82352942228317261</v>
      </c>
      <c r="J85" s="194">
        <v>34</v>
      </c>
      <c r="K85" s="194">
        <v>0.75</v>
      </c>
      <c r="L85" s="194">
        <v>0.63999998569488525</v>
      </c>
      <c r="M85" s="194">
        <v>25</v>
      </c>
      <c r="N85" s="194">
        <v>0.69306927919387817</v>
      </c>
      <c r="O85" s="194">
        <v>0.75675678253173828</v>
      </c>
      <c r="P85" s="194">
        <v>37</v>
      </c>
      <c r="Q85" s="194">
        <v>0.69090908765792847</v>
      </c>
      <c r="R85" s="194">
        <v>0.66666668653488159</v>
      </c>
      <c r="S85" s="194">
        <v>39</v>
      </c>
      <c r="T85" s="194">
        <v>0.69090908765792847</v>
      </c>
      <c r="U85" s="194">
        <v>0.64705884456634521</v>
      </c>
      <c r="V85" s="194">
        <v>34</v>
      </c>
      <c r="W85" s="194">
        <v>0.74545454978942871</v>
      </c>
      <c r="X85" s="194">
        <v>0.75675678253173828</v>
      </c>
      <c r="Y85" s="194">
        <v>37</v>
      </c>
      <c r="Z85" s="194">
        <v>0.79807692766189575</v>
      </c>
      <c r="AA85" s="194">
        <v>0.82051283121109009</v>
      </c>
      <c r="AB85" s="194">
        <v>39</v>
      </c>
      <c r="AC85" s="194">
        <v>0.8125</v>
      </c>
      <c r="AD85" s="194">
        <v>0.82142859697341919</v>
      </c>
      <c r="AE85" s="194">
        <v>28</v>
      </c>
      <c r="AF85" s="194">
        <v>0.80000001192092896</v>
      </c>
      <c r="AG85" s="194">
        <v>0.79310345649719238</v>
      </c>
      <c r="AH85" s="194">
        <v>29</v>
      </c>
      <c r="AI85" s="194">
        <v>0.79104477167129517</v>
      </c>
      <c r="AJ85" s="194">
        <v>0.78947371244430542</v>
      </c>
      <c r="AK85" s="194">
        <v>38</v>
      </c>
      <c r="AL85" s="140"/>
      <c r="AM85" s="140"/>
      <c r="AN85" s="140"/>
      <c r="AO85" s="140"/>
      <c r="AP85" s="140"/>
      <c r="AQ85" s="140"/>
      <c r="AR85" s="140"/>
      <c r="AS85" s="140"/>
      <c r="AT85" s="140"/>
      <c r="AU85" s="140"/>
      <c r="AV85" s="140"/>
      <c r="AW85" s="140"/>
      <c r="AX85" s="140"/>
      <c r="AY85" s="140"/>
      <c r="AZ85" s="140"/>
      <c r="BA85" s="140"/>
      <c r="BB85" s="140"/>
      <c r="BC85" s="140"/>
      <c r="BD85" s="140"/>
      <c r="BE85" s="140"/>
      <c r="BF85" s="140"/>
      <c r="BG85" s="140"/>
      <c r="BH85" s="140"/>
      <c r="BI85" s="140"/>
    </row>
    <row r="86" spans="1:61" x14ac:dyDescent="0.3">
      <c r="A86" s="193" t="s">
        <v>548</v>
      </c>
      <c r="B86" s="194">
        <v>0.8125</v>
      </c>
      <c r="C86" s="194">
        <v>0.77272725105285645</v>
      </c>
      <c r="D86" s="194">
        <v>22</v>
      </c>
      <c r="E86" s="194">
        <v>0.83673471212387085</v>
      </c>
      <c r="F86" s="194">
        <v>0.89999997615814209</v>
      </c>
      <c r="G86" s="194">
        <v>10</v>
      </c>
      <c r="H86" s="194">
        <v>0.78260868787765503</v>
      </c>
      <c r="I86" s="194">
        <v>0.88235294818878174</v>
      </c>
      <c r="J86" s="194">
        <v>17</v>
      </c>
      <c r="K86" s="194">
        <v>0.72727274894714355</v>
      </c>
      <c r="L86" s="194">
        <v>0.63157892227172852</v>
      </c>
      <c r="M86" s="194">
        <v>19</v>
      </c>
      <c r="N86" s="194">
        <v>0.68421053886413574</v>
      </c>
      <c r="O86" s="194">
        <v>0.68421053886413574</v>
      </c>
      <c r="P86" s="194">
        <v>19</v>
      </c>
      <c r="Q86" s="194">
        <v>0.68965518474578857</v>
      </c>
      <c r="R86" s="194">
        <v>0.73684209585189819</v>
      </c>
      <c r="S86" s="194">
        <v>19</v>
      </c>
      <c r="T86" s="194">
        <v>0.69491523504257202</v>
      </c>
      <c r="U86" s="194">
        <v>0.64999997615814209</v>
      </c>
      <c r="V86" s="194">
        <v>20</v>
      </c>
      <c r="W86" s="194">
        <v>0.7049180269241333</v>
      </c>
      <c r="X86" s="194">
        <v>0.69999998807907104</v>
      </c>
      <c r="Y86" s="194">
        <v>20</v>
      </c>
      <c r="Z86" s="194">
        <v>0.72580647468566895</v>
      </c>
      <c r="AA86" s="194">
        <v>0.76190477609634399</v>
      </c>
      <c r="AB86" s="194">
        <v>21</v>
      </c>
      <c r="AC86" s="194">
        <v>0.72307693958282471</v>
      </c>
      <c r="AD86" s="194">
        <v>0.71428573131561279</v>
      </c>
      <c r="AE86" s="194">
        <v>21</v>
      </c>
      <c r="AF86" s="194">
        <v>0.69117647409439087</v>
      </c>
      <c r="AG86" s="194">
        <v>0.69565218687057495</v>
      </c>
      <c r="AH86" s="194">
        <v>23</v>
      </c>
      <c r="AI86" s="194">
        <v>0.6808510422706604</v>
      </c>
      <c r="AJ86" s="194">
        <v>0.66666668653488159</v>
      </c>
      <c r="AK86" s="194">
        <v>24</v>
      </c>
      <c r="AL86" s="140"/>
      <c r="AM86" s="140"/>
      <c r="AN86" s="140"/>
      <c r="AO86" s="140"/>
      <c r="AP86" s="140"/>
      <c r="AQ86" s="140"/>
      <c r="AR86" s="140"/>
      <c r="AS86" s="140"/>
      <c r="AT86" s="140"/>
      <c r="AU86" s="140"/>
      <c r="AV86" s="140"/>
      <c r="AW86" s="140"/>
      <c r="AX86" s="140"/>
      <c r="AY86" s="140"/>
      <c r="AZ86" s="140"/>
      <c r="BA86" s="140"/>
      <c r="BB86" s="140"/>
      <c r="BC86" s="140"/>
      <c r="BD86" s="140"/>
      <c r="BE86" s="140"/>
      <c r="BF86" s="140"/>
      <c r="BG86" s="140"/>
      <c r="BH86" s="140"/>
      <c r="BI86" s="140"/>
    </row>
    <row r="87" spans="1:61" x14ac:dyDescent="0.3">
      <c r="A87" s="193" t="s">
        <v>518</v>
      </c>
      <c r="B87" s="194">
        <v>0.22388060390949249</v>
      </c>
      <c r="C87" s="194">
        <v>0.11764705926179886</v>
      </c>
      <c r="D87" s="194">
        <v>34</v>
      </c>
      <c r="E87" s="194">
        <v>0.2395833283662796</v>
      </c>
      <c r="F87" s="194">
        <v>0.3333333432674408</v>
      </c>
      <c r="G87" s="194">
        <v>33</v>
      </c>
      <c r="H87" s="194">
        <v>0.38709676265716553</v>
      </c>
      <c r="I87" s="194">
        <v>0.27586206793785095</v>
      </c>
      <c r="J87" s="194">
        <v>29</v>
      </c>
      <c r="K87" s="194">
        <v>0.41346153616905212</v>
      </c>
      <c r="L87" s="194">
        <v>0.54838711023330688</v>
      </c>
      <c r="M87" s="194">
        <v>31</v>
      </c>
      <c r="N87" s="194">
        <v>0.41999998688697815</v>
      </c>
      <c r="O87" s="194">
        <v>0.40909090638160706</v>
      </c>
      <c r="P87" s="194">
        <v>44</v>
      </c>
      <c r="Q87" s="194">
        <v>0.37254902720451355</v>
      </c>
      <c r="R87" s="194">
        <v>0.2800000011920929</v>
      </c>
      <c r="S87" s="194">
        <v>25</v>
      </c>
      <c r="T87" s="194">
        <v>0.41111111640930176</v>
      </c>
      <c r="U87" s="194">
        <v>0.39393940567970276</v>
      </c>
      <c r="V87" s="194">
        <v>33</v>
      </c>
      <c r="W87" s="194">
        <v>0.52173912525177002</v>
      </c>
      <c r="X87" s="194">
        <v>0.53125</v>
      </c>
      <c r="Y87" s="194">
        <v>32</v>
      </c>
      <c r="Z87" s="194">
        <v>0.5765765905380249</v>
      </c>
      <c r="AA87" s="194">
        <v>0.60000002384185791</v>
      </c>
      <c r="AB87" s="194">
        <v>50</v>
      </c>
      <c r="AC87" s="194">
        <v>0.5669291615486145</v>
      </c>
      <c r="AD87" s="194">
        <v>0.58620691299438477</v>
      </c>
      <c r="AE87" s="194">
        <v>29</v>
      </c>
      <c r="AF87" s="194">
        <v>0.5128205418586731</v>
      </c>
      <c r="AG87" s="194">
        <v>0.52083331346511841</v>
      </c>
      <c r="AH87" s="194">
        <v>48</v>
      </c>
      <c r="AI87" s="194">
        <v>0.48863637447357178</v>
      </c>
      <c r="AJ87" s="194">
        <v>0.44999998807907104</v>
      </c>
      <c r="AK87" s="194">
        <v>40</v>
      </c>
      <c r="AL87" s="140"/>
      <c r="AM87" s="140"/>
      <c r="AN87" s="140"/>
      <c r="AO87" s="140"/>
      <c r="AP87" s="140"/>
      <c r="AQ87" s="140"/>
      <c r="AR87" s="140"/>
      <c r="AS87" s="140"/>
      <c r="AT87" s="140"/>
      <c r="AU87" s="140"/>
      <c r="AV87" s="140"/>
      <c r="AW87" s="140"/>
      <c r="AX87" s="140"/>
      <c r="AY87" s="140"/>
      <c r="AZ87" s="140"/>
      <c r="BA87" s="140"/>
      <c r="BB87" s="140"/>
      <c r="BC87" s="140"/>
      <c r="BD87" s="140"/>
      <c r="BE87" s="140"/>
      <c r="BF87" s="140"/>
      <c r="BG87" s="140"/>
      <c r="BH87" s="140"/>
      <c r="BI87" s="140"/>
    </row>
    <row r="88" spans="1:61" x14ac:dyDescent="0.3">
      <c r="A88" s="193" t="s">
        <v>514</v>
      </c>
      <c r="B88" s="194">
        <v>0.25</v>
      </c>
      <c r="C88" s="194">
        <v>0</v>
      </c>
      <c r="D88" s="194">
        <v>2</v>
      </c>
      <c r="E88" s="194">
        <v>0.20000000298023224</v>
      </c>
      <c r="F88" s="194">
        <v>0.5</v>
      </c>
      <c r="G88" s="194">
        <v>2</v>
      </c>
      <c r="H88" s="194">
        <v>0.20000000298023224</v>
      </c>
      <c r="I88" s="194">
        <v>0</v>
      </c>
      <c r="J88" s="194">
        <v>1</v>
      </c>
      <c r="K88" s="194">
        <v>0</v>
      </c>
      <c r="L88" s="194">
        <v>0</v>
      </c>
      <c r="M88" s="194">
        <v>2</v>
      </c>
      <c r="N88" s="194">
        <v>0.1666666716337204</v>
      </c>
      <c r="O88" s="194">
        <v>0</v>
      </c>
      <c r="P88" s="194">
        <v>3</v>
      </c>
      <c r="Q88" s="194">
        <v>0.3333333432674408</v>
      </c>
      <c r="R88" s="194">
        <v>1</v>
      </c>
      <c r="S88" s="194">
        <v>1</v>
      </c>
      <c r="T88" s="194">
        <v>0.5</v>
      </c>
      <c r="U88" s="194">
        <v>0.5</v>
      </c>
      <c r="V88" s="194">
        <v>2</v>
      </c>
      <c r="W88" s="194">
        <v>0.125</v>
      </c>
      <c r="X88" s="194">
        <v>0</v>
      </c>
      <c r="Y88" s="194">
        <v>1</v>
      </c>
      <c r="Z88" s="194">
        <v>7.6923079788684845E-2</v>
      </c>
      <c r="AA88" s="194">
        <v>0</v>
      </c>
      <c r="AB88" s="194">
        <v>5</v>
      </c>
      <c r="AC88" s="194">
        <v>0.11764705926179886</v>
      </c>
      <c r="AD88" s="194">
        <v>0.1428571492433548</v>
      </c>
      <c r="AE88" s="194">
        <v>7</v>
      </c>
      <c r="AF88" s="194">
        <v>0.11764705926179886</v>
      </c>
      <c r="AG88" s="194">
        <v>0.20000000298023224</v>
      </c>
      <c r="AH88" s="194">
        <v>5</v>
      </c>
      <c r="AI88" s="194">
        <v>0.10000000149011612</v>
      </c>
      <c r="AJ88" s="194">
        <v>0</v>
      </c>
      <c r="AK88" s="194">
        <v>5</v>
      </c>
      <c r="AL88" s="140"/>
      <c r="AM88" s="140"/>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row>
    <row r="89" spans="1:61" x14ac:dyDescent="0.3">
      <c r="A89" s="193" t="s">
        <v>496</v>
      </c>
      <c r="B89" s="194">
        <v>0.67901235818862915</v>
      </c>
      <c r="C89" s="194">
        <v>0.72972971200942993</v>
      </c>
      <c r="D89" s="194">
        <v>37</v>
      </c>
      <c r="E89" s="194">
        <v>0.67768597602844238</v>
      </c>
      <c r="F89" s="194">
        <v>0.63636362552642822</v>
      </c>
      <c r="G89" s="194">
        <v>44</v>
      </c>
      <c r="H89" s="194">
        <v>0.65853661298751831</v>
      </c>
      <c r="I89" s="194">
        <v>0.67500001192092896</v>
      </c>
      <c r="J89" s="194">
        <v>40</v>
      </c>
      <c r="K89" s="194">
        <v>0.66972476243972778</v>
      </c>
      <c r="L89" s="194">
        <v>0.66666668653488159</v>
      </c>
      <c r="M89" s="194">
        <v>39</v>
      </c>
      <c r="N89" s="194">
        <v>0.67889910936355591</v>
      </c>
      <c r="O89" s="194">
        <v>0.66666668653488159</v>
      </c>
      <c r="P89" s="194">
        <v>30</v>
      </c>
      <c r="Q89" s="194">
        <v>0.66371679306030273</v>
      </c>
      <c r="R89" s="194">
        <v>0.69999998807907104</v>
      </c>
      <c r="S89" s="194">
        <v>40</v>
      </c>
      <c r="T89" s="194">
        <v>0.62068963050842285</v>
      </c>
      <c r="U89" s="194">
        <v>0.62790697813034058</v>
      </c>
      <c r="V89" s="194">
        <v>43</v>
      </c>
      <c r="W89" s="194">
        <v>0.61224490404129028</v>
      </c>
      <c r="X89" s="194">
        <v>0.5151515007019043</v>
      </c>
      <c r="Y89" s="194">
        <v>33</v>
      </c>
      <c r="Z89" s="194">
        <v>0.64835166931152344</v>
      </c>
      <c r="AA89" s="194">
        <v>0.72727274894714355</v>
      </c>
      <c r="AB89" s="194">
        <v>22</v>
      </c>
      <c r="AC89" s="194">
        <v>0.7181817889213562</v>
      </c>
      <c r="AD89" s="194">
        <v>0.72222220897674561</v>
      </c>
      <c r="AE89" s="194">
        <v>36</v>
      </c>
      <c r="AF89" s="194">
        <v>0.6846153736114502</v>
      </c>
      <c r="AG89" s="194">
        <v>0.71153843402862549</v>
      </c>
      <c r="AH89" s="194">
        <v>52</v>
      </c>
      <c r="AI89" s="194">
        <v>0.67021274566650391</v>
      </c>
      <c r="AJ89" s="194">
        <v>0.61904764175415039</v>
      </c>
      <c r="AK89" s="194">
        <v>42</v>
      </c>
      <c r="AL89" s="140"/>
      <c r="AM89" s="140"/>
      <c r="AN89" s="140"/>
      <c r="AO89" s="140"/>
      <c r="AP89" s="140"/>
      <c r="AQ89" s="140"/>
      <c r="AR89" s="140"/>
      <c r="AS89" s="140"/>
      <c r="AT89" s="140"/>
      <c r="AU89" s="140"/>
      <c r="AV89" s="140"/>
      <c r="AW89" s="140"/>
      <c r="AX89" s="140"/>
      <c r="AY89" s="140"/>
      <c r="AZ89" s="140"/>
      <c r="BA89" s="140"/>
      <c r="BB89" s="140"/>
      <c r="BC89" s="140"/>
      <c r="BD89" s="140"/>
      <c r="BE89" s="140"/>
      <c r="BF89" s="140"/>
      <c r="BG89" s="140"/>
      <c r="BH89" s="140"/>
      <c r="BI89" s="140"/>
    </row>
    <row r="90" spans="1:61" x14ac:dyDescent="0.3">
      <c r="A90" s="193" t="s">
        <v>359</v>
      </c>
      <c r="B90" s="194">
        <v>0.15384615957736969</v>
      </c>
      <c r="C90" s="194">
        <v>0.25</v>
      </c>
      <c r="D90" s="194">
        <v>12</v>
      </c>
      <c r="E90" s="194">
        <v>0.12820513546466827</v>
      </c>
      <c r="F90" s="194">
        <v>7.1428574621677399E-2</v>
      </c>
      <c r="G90" s="194">
        <v>14</v>
      </c>
      <c r="H90" s="194">
        <v>6.25E-2</v>
      </c>
      <c r="I90" s="194">
        <v>7.6923079788684845E-2</v>
      </c>
      <c r="J90" s="194">
        <v>13</v>
      </c>
      <c r="K90" s="194">
        <v>0.1071428582072258</v>
      </c>
      <c r="L90" s="194">
        <v>4.76190485060215E-2</v>
      </c>
      <c r="M90" s="194">
        <v>21</v>
      </c>
      <c r="N90" s="194">
        <v>8.4507040679454803E-2</v>
      </c>
      <c r="O90" s="194">
        <v>0.18181818723678589</v>
      </c>
      <c r="P90" s="194">
        <v>22</v>
      </c>
      <c r="Q90" s="194">
        <v>0.10769230872392654</v>
      </c>
      <c r="R90" s="194">
        <v>3.5714287310838699E-2</v>
      </c>
      <c r="S90" s="194">
        <v>28</v>
      </c>
      <c r="T90" s="194">
        <v>0.12962962687015533</v>
      </c>
      <c r="U90" s="194">
        <v>0.13333334028720856</v>
      </c>
      <c r="V90" s="194">
        <v>15</v>
      </c>
      <c r="W90" s="194">
        <v>0.11764705926179886</v>
      </c>
      <c r="X90" s="194">
        <v>0.36363637447357178</v>
      </c>
      <c r="Y90" s="194">
        <v>11</v>
      </c>
      <c r="Z90" s="194">
        <v>9.6153847873210907E-2</v>
      </c>
      <c r="AA90" s="194">
        <v>0</v>
      </c>
      <c r="AB90" s="194">
        <v>25</v>
      </c>
      <c r="AC90" s="194">
        <v>4.3478261679410934E-2</v>
      </c>
      <c r="AD90" s="194">
        <v>6.25E-2</v>
      </c>
      <c r="AE90" s="194">
        <v>16</v>
      </c>
      <c r="AF90" s="194">
        <v>4.6875E-2</v>
      </c>
      <c r="AG90" s="194">
        <v>7.1428574621677399E-2</v>
      </c>
      <c r="AH90" s="194">
        <v>28</v>
      </c>
      <c r="AI90" s="194">
        <v>4.1666667908430099E-2</v>
      </c>
      <c r="AJ90" s="194">
        <v>0</v>
      </c>
      <c r="AK90" s="194">
        <v>20</v>
      </c>
      <c r="AL90" s="140"/>
      <c r="AM90" s="140"/>
      <c r="AN90" s="140"/>
      <c r="AO90" s="140"/>
      <c r="AP90" s="140"/>
      <c r="AQ90" s="140"/>
      <c r="AR90" s="140"/>
      <c r="AS90" s="140"/>
      <c r="AT90" s="140"/>
      <c r="AU90" s="140"/>
      <c r="AV90" s="140"/>
      <c r="AW90" s="140"/>
      <c r="AX90" s="140"/>
      <c r="AY90" s="140"/>
      <c r="AZ90" s="140"/>
      <c r="BA90" s="140"/>
      <c r="BB90" s="140"/>
      <c r="BC90" s="140"/>
      <c r="BD90" s="140"/>
      <c r="BE90" s="140"/>
      <c r="BF90" s="140"/>
      <c r="BG90" s="140"/>
      <c r="BH90" s="140"/>
      <c r="BI90" s="140"/>
    </row>
    <row r="91" spans="1:61" x14ac:dyDescent="0.3">
      <c r="A91" s="193" t="s">
        <v>431</v>
      </c>
      <c r="B91" s="194">
        <v>0.35294118523597717</v>
      </c>
      <c r="C91" s="194">
        <v>0.5</v>
      </c>
      <c r="D91" s="194">
        <v>6</v>
      </c>
      <c r="E91" s="194">
        <v>0.34375</v>
      </c>
      <c r="F91" s="194">
        <v>0.27272728085517883</v>
      </c>
      <c r="G91" s="194">
        <v>11</v>
      </c>
      <c r="H91" s="194">
        <v>0.29268291592597961</v>
      </c>
      <c r="I91" s="194">
        <v>0.3333333432674408</v>
      </c>
      <c r="J91" s="194">
        <v>15</v>
      </c>
      <c r="K91" s="194">
        <v>0.39215686917304993</v>
      </c>
      <c r="L91" s="194">
        <v>0.26666668057441711</v>
      </c>
      <c r="M91" s="194">
        <v>15</v>
      </c>
      <c r="N91" s="194">
        <v>0.4920634925365448</v>
      </c>
      <c r="O91" s="194">
        <v>0.52380955219268799</v>
      </c>
      <c r="P91" s="194">
        <v>21</v>
      </c>
      <c r="Q91" s="194">
        <v>0.61764705181121826</v>
      </c>
      <c r="R91" s="194">
        <v>0.59259259700775146</v>
      </c>
      <c r="S91" s="194">
        <v>27</v>
      </c>
      <c r="T91" s="194">
        <v>0.61538463830947876</v>
      </c>
      <c r="U91" s="194">
        <v>0.75</v>
      </c>
      <c r="V91" s="194">
        <v>20</v>
      </c>
      <c r="W91" s="194">
        <v>0.60294115543365479</v>
      </c>
      <c r="X91" s="194">
        <v>0.5</v>
      </c>
      <c r="Y91" s="194">
        <v>18</v>
      </c>
      <c r="Z91" s="194">
        <v>0.54166668653488159</v>
      </c>
      <c r="AA91" s="194">
        <v>0.56666666269302368</v>
      </c>
      <c r="AB91" s="194">
        <v>30</v>
      </c>
      <c r="AC91" s="194">
        <v>0.4861111044883728</v>
      </c>
      <c r="AD91" s="194">
        <v>0.54166668653488159</v>
      </c>
      <c r="AE91" s="194">
        <v>24</v>
      </c>
      <c r="AF91" s="194">
        <v>0.4038461446762085</v>
      </c>
      <c r="AG91" s="194">
        <v>0.27777779102325439</v>
      </c>
      <c r="AH91" s="194">
        <v>18</v>
      </c>
      <c r="AI91" s="194">
        <v>0.28571429848670959</v>
      </c>
      <c r="AJ91" s="194">
        <v>0.30000001192092896</v>
      </c>
      <c r="AK91" s="194">
        <v>10</v>
      </c>
      <c r="AL91" s="140"/>
      <c r="AM91" s="140"/>
      <c r="AN91" s="140"/>
      <c r="AO91" s="140"/>
      <c r="AP91" s="140"/>
      <c r="AQ91" s="140"/>
      <c r="AR91" s="140"/>
      <c r="AS91" s="140"/>
      <c r="AT91" s="140"/>
      <c r="AU91" s="140"/>
      <c r="AV91" s="140"/>
      <c r="AW91" s="140"/>
      <c r="AX91" s="140"/>
      <c r="AY91" s="140"/>
      <c r="AZ91" s="140"/>
      <c r="BA91" s="140"/>
      <c r="BB91" s="140"/>
      <c r="BC91" s="140"/>
      <c r="BD91" s="140"/>
      <c r="BE91" s="140"/>
      <c r="BF91" s="140"/>
      <c r="BG91" s="140"/>
      <c r="BH91" s="140"/>
      <c r="BI91" s="140"/>
    </row>
    <row r="92" spans="1:61" x14ac:dyDescent="0.3">
      <c r="A92" s="193" t="s">
        <v>526</v>
      </c>
      <c r="B92" s="194">
        <v>0.15555556118488312</v>
      </c>
      <c r="C92" s="194">
        <v>0.2083333283662796</v>
      </c>
      <c r="D92" s="194">
        <v>24</v>
      </c>
      <c r="E92" s="194">
        <v>0.10810811072587967</v>
      </c>
      <c r="F92" s="194">
        <v>9.5238097012042999E-2</v>
      </c>
      <c r="G92" s="194">
        <v>21</v>
      </c>
      <c r="H92" s="194">
        <v>5.95238097012043E-2</v>
      </c>
      <c r="I92" s="194">
        <v>3.4482758492231369E-2</v>
      </c>
      <c r="J92" s="194">
        <v>29</v>
      </c>
      <c r="K92" s="194">
        <v>3.488372266292572E-2</v>
      </c>
      <c r="L92" s="194">
        <v>5.8823529630899429E-2</v>
      </c>
      <c r="M92" s="194">
        <v>34</v>
      </c>
      <c r="N92" s="194">
        <v>6.5789476037025452E-2</v>
      </c>
      <c r="O92" s="194">
        <v>0</v>
      </c>
      <c r="P92" s="194">
        <v>23</v>
      </c>
      <c r="Q92" s="194">
        <v>0.15068493783473969</v>
      </c>
      <c r="R92" s="194">
        <v>0.15789473056793213</v>
      </c>
      <c r="S92" s="194">
        <v>19</v>
      </c>
      <c r="T92" s="194">
        <v>0.36764705181121826</v>
      </c>
      <c r="U92" s="194">
        <v>0.25806450843811035</v>
      </c>
      <c r="V92" s="194">
        <v>31</v>
      </c>
      <c r="W92" s="194">
        <v>0.62962961196899414</v>
      </c>
      <c r="X92" s="194">
        <v>0.77777779102325439</v>
      </c>
      <c r="Y92" s="194">
        <v>18</v>
      </c>
      <c r="Z92" s="194">
        <v>0.83333331346511841</v>
      </c>
      <c r="AA92" s="194">
        <v>0.90625</v>
      </c>
      <c r="AB92" s="194">
        <v>32</v>
      </c>
      <c r="AC92" s="194">
        <v>0.64999997615814209</v>
      </c>
      <c r="AD92" s="194">
        <v>0.77272725105285645</v>
      </c>
      <c r="AE92" s="194">
        <v>22</v>
      </c>
      <c r="AF92" s="194">
        <v>0.55263155698776245</v>
      </c>
      <c r="AG92" s="194">
        <v>0.23076923191547394</v>
      </c>
      <c r="AH92" s="194">
        <v>26</v>
      </c>
      <c r="AI92" s="194">
        <v>0.46296295523643494</v>
      </c>
      <c r="AJ92" s="194">
        <v>0.67857140302658081</v>
      </c>
      <c r="AK92" s="194">
        <v>28</v>
      </c>
      <c r="AL92" s="140"/>
      <c r="AM92" s="140"/>
      <c r="AN92" s="140"/>
      <c r="AO92" s="140"/>
      <c r="AP92" s="140"/>
      <c r="AQ92" s="140"/>
      <c r="AR92" s="140"/>
      <c r="AS92" s="140"/>
      <c r="AT92" s="140"/>
      <c r="AU92" s="140"/>
      <c r="AV92" s="140"/>
      <c r="AW92" s="140"/>
      <c r="AX92" s="140"/>
      <c r="AY92" s="140"/>
      <c r="AZ92" s="140"/>
      <c r="BA92" s="140"/>
      <c r="BB92" s="140"/>
      <c r="BC92" s="140"/>
      <c r="BD92" s="140"/>
      <c r="BE92" s="140"/>
      <c r="BF92" s="140"/>
      <c r="BG92" s="140"/>
      <c r="BH92" s="140"/>
      <c r="BI92" s="140"/>
    </row>
    <row r="93" spans="1:61" x14ac:dyDescent="0.3">
      <c r="A93" s="193" t="s">
        <v>435</v>
      </c>
      <c r="B93" s="194">
        <v>0.72727274894714355</v>
      </c>
      <c r="C93" s="194">
        <v>0.8571428656578064</v>
      </c>
      <c r="D93" s="194">
        <v>28</v>
      </c>
      <c r="E93" s="194">
        <v>0.66666668653488159</v>
      </c>
      <c r="F93" s="194">
        <v>0.59259259700775146</v>
      </c>
      <c r="G93" s="194">
        <v>27</v>
      </c>
      <c r="H93" s="194">
        <v>0.64634144306182861</v>
      </c>
      <c r="I93" s="194">
        <v>0.5517241358757019</v>
      </c>
      <c r="J93" s="194">
        <v>29</v>
      </c>
      <c r="K93" s="194">
        <v>0.74193549156188965</v>
      </c>
      <c r="L93" s="194">
        <v>0.80769228935241699</v>
      </c>
      <c r="M93" s="194">
        <v>26</v>
      </c>
      <c r="N93" s="194">
        <v>0.78431373834609985</v>
      </c>
      <c r="O93" s="194">
        <v>0.84210526943206787</v>
      </c>
      <c r="P93" s="194">
        <v>38</v>
      </c>
      <c r="Q93" s="194">
        <v>0.81081080436706543</v>
      </c>
      <c r="R93" s="194">
        <v>0.71052628755569458</v>
      </c>
      <c r="S93" s="194">
        <v>38</v>
      </c>
      <c r="T93" s="194">
        <v>0.77142858505249023</v>
      </c>
      <c r="U93" s="194">
        <v>0.88571429252624512</v>
      </c>
      <c r="V93" s="194">
        <v>35</v>
      </c>
      <c r="W93" s="194">
        <v>0.68686866760253906</v>
      </c>
      <c r="X93" s="194">
        <v>0.71875</v>
      </c>
      <c r="Y93" s="194">
        <v>32</v>
      </c>
      <c r="Z93" s="194">
        <v>0.53125</v>
      </c>
      <c r="AA93" s="194">
        <v>0.4375</v>
      </c>
      <c r="AB93" s="194">
        <v>32</v>
      </c>
      <c r="AC93" s="194">
        <v>0.4444444477558136</v>
      </c>
      <c r="AD93" s="194">
        <v>0.4375</v>
      </c>
      <c r="AE93" s="194">
        <v>32</v>
      </c>
      <c r="AF93" s="194">
        <v>0.52525252103805542</v>
      </c>
      <c r="AG93" s="194">
        <v>0.45714285969734192</v>
      </c>
      <c r="AH93" s="194">
        <v>35</v>
      </c>
      <c r="AI93" s="194">
        <v>0.56716418266296387</v>
      </c>
      <c r="AJ93" s="194">
        <v>0.6875</v>
      </c>
      <c r="AK93" s="194">
        <v>32</v>
      </c>
      <c r="AL93" s="140"/>
      <c r="AM93" s="140"/>
      <c r="AN93" s="140"/>
      <c r="AO93" s="140"/>
      <c r="AP93" s="140"/>
      <c r="AQ93" s="140"/>
      <c r="AR93" s="140"/>
      <c r="AS93" s="140"/>
      <c r="AT93" s="140"/>
      <c r="AU93" s="140"/>
      <c r="AV93" s="140"/>
      <c r="AW93" s="140"/>
      <c r="AX93" s="140"/>
      <c r="AY93" s="140"/>
      <c r="AZ93" s="140"/>
      <c r="BA93" s="140"/>
      <c r="BB93" s="140"/>
      <c r="BC93" s="140"/>
      <c r="BD93" s="140"/>
      <c r="BE93" s="140"/>
      <c r="BF93" s="140"/>
      <c r="BG93" s="140"/>
      <c r="BH93" s="140"/>
      <c r="BI93" s="140"/>
    </row>
    <row r="94" spans="1:61" x14ac:dyDescent="0.3">
      <c r="A94" s="193" t="s">
        <v>267</v>
      </c>
      <c r="B94" s="194">
        <v>0.2380952388048172</v>
      </c>
      <c r="C94" s="194">
        <v>9.0909093618392944E-2</v>
      </c>
      <c r="D94" s="194">
        <v>11</v>
      </c>
      <c r="E94" s="194">
        <v>0.36363637447357178</v>
      </c>
      <c r="F94" s="194">
        <v>0.40000000596046448</v>
      </c>
      <c r="G94" s="194">
        <v>10</v>
      </c>
      <c r="H94" s="194">
        <v>0.5</v>
      </c>
      <c r="I94" s="194">
        <v>0.58333331346511841</v>
      </c>
      <c r="J94" s="194">
        <v>12</v>
      </c>
      <c r="K94" s="194">
        <v>0.55357140302658081</v>
      </c>
      <c r="L94" s="194">
        <v>0.5</v>
      </c>
      <c r="M94" s="194">
        <v>22</v>
      </c>
      <c r="N94" s="194">
        <v>0.57575756311416626</v>
      </c>
      <c r="O94" s="194">
        <v>0.59090906381607056</v>
      </c>
      <c r="P94" s="194">
        <v>22</v>
      </c>
      <c r="Q94" s="194">
        <v>0.59259259700775146</v>
      </c>
      <c r="R94" s="194">
        <v>0.63636362552642822</v>
      </c>
      <c r="S94" s="194">
        <v>22</v>
      </c>
      <c r="T94" s="194">
        <v>0.62000000476837158</v>
      </c>
      <c r="U94" s="194">
        <v>0.5</v>
      </c>
      <c r="V94" s="194">
        <v>10</v>
      </c>
      <c r="W94" s="194">
        <v>0.67500001192092896</v>
      </c>
      <c r="X94" s="194">
        <v>0.66666668653488159</v>
      </c>
      <c r="Y94" s="194">
        <v>18</v>
      </c>
      <c r="Z94" s="194">
        <v>0.77777779102325439</v>
      </c>
      <c r="AA94" s="194">
        <v>0.83333331346511841</v>
      </c>
      <c r="AB94" s="194">
        <v>12</v>
      </c>
      <c r="AC94" s="194">
        <v>0.8139534592628479</v>
      </c>
      <c r="AD94" s="194">
        <v>0.86666667461395264</v>
      </c>
      <c r="AE94" s="194">
        <v>15</v>
      </c>
      <c r="AF94" s="194">
        <v>0.77999997138977051</v>
      </c>
      <c r="AG94" s="194">
        <v>0.75</v>
      </c>
      <c r="AH94" s="194">
        <v>16</v>
      </c>
      <c r="AI94" s="194">
        <v>0.74285715818405151</v>
      </c>
      <c r="AJ94" s="194">
        <v>0.73684209585189819</v>
      </c>
      <c r="AK94" s="194">
        <v>19</v>
      </c>
      <c r="AL94" s="140"/>
      <c r="AM94" s="140"/>
      <c r="AN94" s="140"/>
      <c r="AO94" s="140"/>
      <c r="AP94" s="140"/>
      <c r="AQ94" s="140"/>
      <c r="AR94" s="140"/>
      <c r="AS94" s="140"/>
      <c r="AT94" s="140"/>
      <c r="AU94" s="140"/>
      <c r="AV94" s="140"/>
      <c r="AW94" s="140"/>
      <c r="AX94" s="140"/>
      <c r="AY94" s="140"/>
      <c r="AZ94" s="140"/>
      <c r="BA94" s="140"/>
      <c r="BB94" s="140"/>
      <c r="BC94" s="140"/>
      <c r="BD94" s="140"/>
      <c r="BE94" s="140"/>
      <c r="BF94" s="140"/>
      <c r="BG94" s="140"/>
      <c r="BH94" s="140"/>
      <c r="BI94" s="140"/>
    </row>
    <row r="95" spans="1:61" x14ac:dyDescent="0.3">
      <c r="A95" s="193" t="s">
        <v>484</v>
      </c>
      <c r="B95" s="194">
        <v>0.46153846383094788</v>
      </c>
      <c r="C95" s="194">
        <v>0.4285714328289032</v>
      </c>
      <c r="D95" s="194">
        <v>21</v>
      </c>
      <c r="E95" s="194">
        <v>0.50847458839416504</v>
      </c>
      <c r="F95" s="194">
        <v>0.5</v>
      </c>
      <c r="G95" s="194">
        <v>18</v>
      </c>
      <c r="H95" s="194">
        <v>0.50877195596694946</v>
      </c>
      <c r="I95" s="194">
        <v>0.60000002384185791</v>
      </c>
      <c r="J95" s="194">
        <v>20</v>
      </c>
      <c r="K95" s="194">
        <v>0.47761192917823792</v>
      </c>
      <c r="L95" s="194">
        <v>0.42105263471603394</v>
      </c>
      <c r="M95" s="194">
        <v>19</v>
      </c>
      <c r="N95" s="194">
        <v>0.42666667699813843</v>
      </c>
      <c r="O95" s="194">
        <v>0.4285714328289032</v>
      </c>
      <c r="P95" s="194">
        <v>28</v>
      </c>
      <c r="Q95" s="194">
        <v>0.49367088079452515</v>
      </c>
      <c r="R95" s="194">
        <v>0.4285714328289032</v>
      </c>
      <c r="S95" s="194">
        <v>28</v>
      </c>
      <c r="T95" s="194">
        <v>0.578125</v>
      </c>
      <c r="U95" s="194">
        <v>0.65217393636703491</v>
      </c>
      <c r="V95" s="194">
        <v>23</v>
      </c>
      <c r="W95" s="194">
        <v>0.7321428656578064</v>
      </c>
      <c r="X95" s="194">
        <v>0.76923078298568726</v>
      </c>
      <c r="Y95" s="194">
        <v>13</v>
      </c>
      <c r="Z95" s="194">
        <v>0.75471699237823486</v>
      </c>
      <c r="AA95" s="194">
        <v>0.80000001192092896</v>
      </c>
      <c r="AB95" s="194">
        <v>20</v>
      </c>
      <c r="AC95" s="194">
        <v>0.74285715818405151</v>
      </c>
      <c r="AD95" s="194">
        <v>0.69999998807907104</v>
      </c>
      <c r="AE95" s="194">
        <v>20</v>
      </c>
      <c r="AF95" s="194">
        <v>0.74025976657867432</v>
      </c>
      <c r="AG95" s="194">
        <v>0.73333334922790527</v>
      </c>
      <c r="AH95" s="194">
        <v>30</v>
      </c>
      <c r="AI95" s="194">
        <v>0.75438594818115234</v>
      </c>
      <c r="AJ95" s="194">
        <v>0.77777779102325439</v>
      </c>
      <c r="AK95" s="194">
        <v>27</v>
      </c>
      <c r="AL95" s="140"/>
      <c r="AM95" s="140"/>
      <c r="AN95" s="140"/>
      <c r="AO95" s="140"/>
      <c r="AP95" s="140"/>
      <c r="AQ95" s="140"/>
      <c r="AR95" s="140"/>
      <c r="AS95" s="140"/>
      <c r="AT95" s="140"/>
      <c r="AU95" s="140"/>
      <c r="AV95" s="140"/>
      <c r="AW95" s="140"/>
      <c r="AX95" s="140"/>
      <c r="AY95" s="140"/>
      <c r="AZ95" s="140"/>
      <c r="BA95" s="140"/>
      <c r="BB95" s="140"/>
      <c r="BC95" s="140"/>
      <c r="BD95" s="140"/>
      <c r="BE95" s="140"/>
      <c r="BF95" s="140"/>
      <c r="BG95" s="140"/>
      <c r="BH95" s="140"/>
      <c r="BI95" s="140"/>
    </row>
    <row r="96" spans="1:61" x14ac:dyDescent="0.3">
      <c r="A96" s="193" t="s">
        <v>470</v>
      </c>
      <c r="B96" s="194">
        <v>0.61290323734283447</v>
      </c>
      <c r="C96" s="194">
        <v>0.4166666567325592</v>
      </c>
      <c r="D96" s="194">
        <v>12</v>
      </c>
      <c r="E96" s="194">
        <v>0.57446807622909546</v>
      </c>
      <c r="F96" s="194">
        <v>0.73684209585189819</v>
      </c>
      <c r="G96" s="194">
        <v>19</v>
      </c>
      <c r="H96" s="194">
        <v>0.53061223030090332</v>
      </c>
      <c r="I96" s="194">
        <v>0.5</v>
      </c>
      <c r="J96" s="194">
        <v>16</v>
      </c>
      <c r="K96" s="194">
        <v>0.34693878889083862</v>
      </c>
      <c r="L96" s="194">
        <v>0.28571429848670959</v>
      </c>
      <c r="M96" s="194">
        <v>14</v>
      </c>
      <c r="N96" s="194">
        <v>0.29411765933036804</v>
      </c>
      <c r="O96" s="194">
        <v>0.26315790414810181</v>
      </c>
      <c r="P96" s="194">
        <v>19</v>
      </c>
      <c r="Q96" s="194">
        <v>0.34693878889083862</v>
      </c>
      <c r="R96" s="194">
        <v>0.3333333432674408</v>
      </c>
      <c r="S96" s="194">
        <v>18</v>
      </c>
      <c r="T96" s="194">
        <v>0.48148149251937866</v>
      </c>
      <c r="U96" s="194">
        <v>0.5</v>
      </c>
      <c r="V96" s="194">
        <v>12</v>
      </c>
      <c r="W96" s="194">
        <v>0.56451612710952759</v>
      </c>
      <c r="X96" s="194">
        <v>0.58333331346511841</v>
      </c>
      <c r="Y96" s="194">
        <v>24</v>
      </c>
      <c r="Z96" s="194">
        <v>0.60000002384185791</v>
      </c>
      <c r="AA96" s="194">
        <v>0.57692307233810425</v>
      </c>
      <c r="AB96" s="194">
        <v>26</v>
      </c>
      <c r="AC96" s="194">
        <v>0.67073172330856323</v>
      </c>
      <c r="AD96" s="194">
        <v>0.64999997615814209</v>
      </c>
      <c r="AE96" s="194">
        <v>20</v>
      </c>
      <c r="AF96" s="194">
        <v>0.68478262424468994</v>
      </c>
      <c r="AG96" s="194">
        <v>0.75</v>
      </c>
      <c r="AH96" s="194">
        <v>36</v>
      </c>
      <c r="AI96" s="194">
        <v>0.69444441795349121</v>
      </c>
      <c r="AJ96" s="194">
        <v>0.6388888955116272</v>
      </c>
      <c r="AK96" s="194">
        <v>36</v>
      </c>
      <c r="AL96" s="140"/>
      <c r="AM96" s="140"/>
      <c r="AN96" s="140"/>
      <c r="AO96" s="140"/>
      <c r="AP96" s="140"/>
      <c r="AQ96" s="140"/>
      <c r="AR96" s="140"/>
      <c r="AS96" s="140"/>
      <c r="AT96" s="140"/>
      <c r="AU96" s="140"/>
      <c r="AV96" s="140"/>
      <c r="AW96" s="140"/>
      <c r="AX96" s="140"/>
      <c r="AY96" s="140"/>
      <c r="AZ96" s="140"/>
      <c r="BA96" s="140"/>
      <c r="BB96" s="140"/>
      <c r="BC96" s="140"/>
      <c r="BD96" s="140"/>
      <c r="BE96" s="140"/>
      <c r="BF96" s="140"/>
      <c r="BG96" s="140"/>
      <c r="BH96" s="140"/>
      <c r="BI96" s="140"/>
    </row>
    <row r="97" spans="1:61" x14ac:dyDescent="0.3">
      <c r="A97" s="193" t="s">
        <v>530</v>
      </c>
      <c r="B97" s="194">
        <v>0.79166668653488159</v>
      </c>
      <c r="C97" s="194">
        <v>0.72727274894714355</v>
      </c>
      <c r="D97" s="194">
        <v>11</v>
      </c>
      <c r="E97" s="194">
        <v>0.85294115543365479</v>
      </c>
      <c r="F97" s="194">
        <v>0.8461538553237915</v>
      </c>
      <c r="G97" s="194">
        <v>13</v>
      </c>
      <c r="H97" s="194">
        <v>0.93103450536727905</v>
      </c>
      <c r="I97" s="194">
        <v>1</v>
      </c>
      <c r="J97" s="194">
        <v>10</v>
      </c>
      <c r="K97" s="194">
        <v>0.90909093618392944</v>
      </c>
      <c r="L97" s="194">
        <v>1</v>
      </c>
      <c r="M97" s="194">
        <v>6</v>
      </c>
      <c r="N97" s="194">
        <v>0.76470589637756348</v>
      </c>
      <c r="O97" s="194">
        <v>0.66666668653488159</v>
      </c>
      <c r="P97" s="194">
        <v>6</v>
      </c>
      <c r="Q97" s="194">
        <v>0.75</v>
      </c>
      <c r="R97" s="194">
        <v>0.60000002384185791</v>
      </c>
      <c r="S97" s="194">
        <v>5</v>
      </c>
      <c r="T97" s="194">
        <v>0.76190477609634399</v>
      </c>
      <c r="U97" s="194">
        <v>1</v>
      </c>
      <c r="V97" s="194">
        <v>5</v>
      </c>
      <c r="W97" s="194">
        <v>0.86206895112991333</v>
      </c>
      <c r="X97" s="194">
        <v>0.72727274894714355</v>
      </c>
      <c r="Y97" s="194">
        <v>11</v>
      </c>
      <c r="Z97" s="194">
        <v>0.82142859697341919</v>
      </c>
      <c r="AA97" s="194">
        <v>0.92307692766189575</v>
      </c>
      <c r="AB97" s="194">
        <v>13</v>
      </c>
      <c r="AC97" s="194">
        <v>0.92000001668930054</v>
      </c>
      <c r="AD97" s="194">
        <v>0.75</v>
      </c>
      <c r="AE97" s="194">
        <v>4</v>
      </c>
      <c r="AF97" s="194">
        <v>0.8571428656578064</v>
      </c>
      <c r="AG97" s="194">
        <v>1</v>
      </c>
      <c r="AH97" s="194">
        <v>8</v>
      </c>
      <c r="AI97" s="194">
        <v>0.89999997615814209</v>
      </c>
      <c r="AJ97" s="194">
        <v>0.5</v>
      </c>
      <c r="AK97" s="194">
        <v>2</v>
      </c>
      <c r="AL97" s="140"/>
      <c r="AM97" s="140"/>
      <c r="AN97" s="140"/>
      <c r="AO97" s="140"/>
      <c r="AP97" s="140"/>
      <c r="AQ97" s="140"/>
      <c r="AR97" s="140"/>
      <c r="AS97" s="140"/>
      <c r="AT97" s="140"/>
      <c r="AU97" s="140"/>
      <c r="AV97" s="140"/>
      <c r="AW97" s="140"/>
      <c r="AX97" s="140"/>
      <c r="AY97" s="140"/>
      <c r="AZ97" s="140"/>
      <c r="BA97" s="140"/>
      <c r="BB97" s="140"/>
      <c r="BC97" s="140"/>
      <c r="BD97" s="140"/>
      <c r="BE97" s="140"/>
      <c r="BF97" s="140"/>
      <c r="BG97" s="140"/>
      <c r="BH97" s="140"/>
      <c r="BI97" s="140"/>
    </row>
    <row r="98" spans="1:61" x14ac:dyDescent="0.3">
      <c r="A98" s="193" t="s">
        <v>416</v>
      </c>
      <c r="B98" s="194">
        <v>0.22580644488334656</v>
      </c>
      <c r="C98" s="194">
        <v>0.22499999403953552</v>
      </c>
      <c r="D98" s="194">
        <v>40</v>
      </c>
      <c r="E98" s="194">
        <v>0.20496894419193268</v>
      </c>
      <c r="F98" s="194">
        <v>0.22641509771347046</v>
      </c>
      <c r="G98" s="194">
        <v>53</v>
      </c>
      <c r="H98" s="194">
        <v>0.17894737422466278</v>
      </c>
      <c r="I98" s="194">
        <v>0.17647059261798859</v>
      </c>
      <c r="J98" s="194">
        <v>68</v>
      </c>
      <c r="K98" s="194">
        <v>0.15425531566143036</v>
      </c>
      <c r="L98" s="194">
        <v>0.14492753148078918</v>
      </c>
      <c r="M98" s="194">
        <v>69</v>
      </c>
      <c r="N98" s="194">
        <v>0.16304348409175873</v>
      </c>
      <c r="O98" s="194">
        <v>0.13725490868091583</v>
      </c>
      <c r="P98" s="194">
        <v>51</v>
      </c>
      <c r="Q98" s="194">
        <v>0.17441859841346741</v>
      </c>
      <c r="R98" s="194">
        <v>0.203125</v>
      </c>
      <c r="S98" s="194">
        <v>64</v>
      </c>
      <c r="T98" s="194">
        <v>0.17989417910575867</v>
      </c>
      <c r="U98" s="194">
        <v>0.17543859779834747</v>
      </c>
      <c r="V98" s="194">
        <v>57</v>
      </c>
      <c r="W98" s="194">
        <v>0.17741934955120087</v>
      </c>
      <c r="X98" s="194">
        <v>0.1617647111415863</v>
      </c>
      <c r="Y98" s="194">
        <v>68</v>
      </c>
      <c r="Z98" s="194">
        <v>0.20197044312953949</v>
      </c>
      <c r="AA98" s="194">
        <v>0.19672131538391113</v>
      </c>
      <c r="AB98" s="194">
        <v>61</v>
      </c>
      <c r="AC98" s="194">
        <v>0.19806763529777527</v>
      </c>
      <c r="AD98" s="194">
        <v>0.24324324727058411</v>
      </c>
      <c r="AE98" s="194">
        <v>74</v>
      </c>
      <c r="AF98" s="194">
        <v>0.2227979302406311</v>
      </c>
      <c r="AG98" s="194">
        <v>0.1527777761220932</v>
      </c>
      <c r="AH98" s="194">
        <v>72</v>
      </c>
      <c r="AI98" s="194">
        <v>0.21008403599262238</v>
      </c>
      <c r="AJ98" s="194">
        <v>0.29787233471870422</v>
      </c>
      <c r="AK98" s="194">
        <v>47</v>
      </c>
      <c r="AL98" s="140"/>
      <c r="AM98" s="140"/>
      <c r="AN98" s="140"/>
      <c r="AO98" s="140"/>
      <c r="AP98" s="140"/>
      <c r="AQ98" s="140"/>
      <c r="AR98" s="140"/>
      <c r="AS98" s="140"/>
      <c r="AT98" s="140"/>
      <c r="AU98" s="140"/>
      <c r="AV98" s="140"/>
      <c r="AW98" s="140"/>
      <c r="AX98" s="140"/>
      <c r="AY98" s="140"/>
      <c r="AZ98" s="140"/>
      <c r="BA98" s="140"/>
      <c r="BB98" s="140"/>
      <c r="BC98" s="140"/>
      <c r="BD98" s="140"/>
      <c r="BE98" s="140"/>
      <c r="BF98" s="140"/>
      <c r="BG98" s="140"/>
      <c r="BH98" s="140"/>
      <c r="BI98" s="140"/>
    </row>
    <row r="99" spans="1:61" x14ac:dyDescent="0.3">
      <c r="A99" s="193" t="s">
        <v>350</v>
      </c>
      <c r="B99" s="194">
        <v>0.21052631735801697</v>
      </c>
      <c r="C99" s="194">
        <v>0</v>
      </c>
      <c r="D99" s="194">
        <v>5</v>
      </c>
      <c r="E99" s="194">
        <v>0.29032257199287415</v>
      </c>
      <c r="F99" s="194">
        <v>0.28571429848670959</v>
      </c>
      <c r="G99" s="194">
        <v>14</v>
      </c>
      <c r="H99" s="194">
        <v>0.35483869910240173</v>
      </c>
      <c r="I99" s="194">
        <v>0.4166666567325592</v>
      </c>
      <c r="J99" s="194">
        <v>12</v>
      </c>
      <c r="K99" s="194">
        <v>0.375</v>
      </c>
      <c r="L99" s="194">
        <v>0.40000000596046448</v>
      </c>
      <c r="M99" s="194">
        <v>5</v>
      </c>
      <c r="N99" s="194">
        <v>0.35294118523597717</v>
      </c>
      <c r="O99" s="194">
        <v>0.28571429848670959</v>
      </c>
      <c r="P99" s="194">
        <v>7</v>
      </c>
      <c r="Q99" s="194">
        <v>0.23529411852359772</v>
      </c>
      <c r="R99" s="194">
        <v>0.40000000596046448</v>
      </c>
      <c r="S99" s="194">
        <v>5</v>
      </c>
      <c r="T99" s="194">
        <v>0.17647059261798859</v>
      </c>
      <c r="U99" s="194">
        <v>0</v>
      </c>
      <c r="V99" s="194">
        <v>5</v>
      </c>
      <c r="W99" s="194">
        <v>0.15789473056793213</v>
      </c>
      <c r="X99" s="194">
        <v>0.1428571492433548</v>
      </c>
      <c r="Y99" s="194">
        <v>7</v>
      </c>
      <c r="Z99" s="194">
        <v>0.29032257199287415</v>
      </c>
      <c r="AA99" s="194">
        <v>0.28571429848670959</v>
      </c>
      <c r="AB99" s="194">
        <v>7</v>
      </c>
      <c r="AC99" s="194">
        <v>0.25806450843811035</v>
      </c>
      <c r="AD99" s="194">
        <v>0.35294118523597717</v>
      </c>
      <c r="AE99" s="194">
        <v>17</v>
      </c>
      <c r="AF99" s="194">
        <v>0.35294118523597717</v>
      </c>
      <c r="AG99" s="194">
        <v>0</v>
      </c>
      <c r="AH99" s="194">
        <v>7</v>
      </c>
      <c r="AI99" s="194">
        <v>0.35294118523597717</v>
      </c>
      <c r="AJ99" s="194">
        <v>0.60000002384185791</v>
      </c>
      <c r="AK99" s="194">
        <v>10</v>
      </c>
      <c r="AL99" s="140"/>
      <c r="AM99" s="140"/>
      <c r="AN99" s="140"/>
      <c r="AO99" s="140"/>
      <c r="AP99" s="140"/>
      <c r="AQ99" s="140"/>
      <c r="AR99" s="140"/>
      <c r="AS99" s="140"/>
      <c r="AT99" s="140"/>
      <c r="AU99" s="140"/>
      <c r="AV99" s="140"/>
      <c r="AW99" s="140"/>
      <c r="AX99" s="140"/>
      <c r="AY99" s="140"/>
      <c r="AZ99" s="140"/>
      <c r="BA99" s="140"/>
      <c r="BB99" s="140"/>
      <c r="BC99" s="140"/>
      <c r="BD99" s="140"/>
      <c r="BE99" s="140"/>
      <c r="BF99" s="140"/>
      <c r="BG99" s="140"/>
      <c r="BH99" s="140"/>
      <c r="BI99" s="140"/>
    </row>
    <row r="100" spans="1:61" x14ac:dyDescent="0.3">
      <c r="A100" s="193" t="s">
        <v>341</v>
      </c>
      <c r="B100" s="194">
        <v>0.59459459781646729</v>
      </c>
      <c r="C100" s="194">
        <v>0.68421053886413574</v>
      </c>
      <c r="D100" s="194">
        <v>38</v>
      </c>
      <c r="E100" s="194">
        <v>0.61764705181121826</v>
      </c>
      <c r="F100" s="194">
        <v>0.5</v>
      </c>
      <c r="G100" s="194">
        <v>36</v>
      </c>
      <c r="H100" s="194">
        <v>0.58620691299438477</v>
      </c>
      <c r="I100" s="194">
        <v>0.67857140302658081</v>
      </c>
      <c r="J100" s="194">
        <v>28</v>
      </c>
      <c r="K100" s="194">
        <v>0.61904764175415039</v>
      </c>
      <c r="L100" s="194">
        <v>0.6086956262588501</v>
      </c>
      <c r="M100" s="194">
        <v>23</v>
      </c>
      <c r="N100" s="194">
        <v>0.56470590829849243</v>
      </c>
      <c r="O100" s="194">
        <v>0.57575756311416626</v>
      </c>
      <c r="P100" s="194">
        <v>33</v>
      </c>
      <c r="Q100" s="194">
        <v>0.60824739933013916</v>
      </c>
      <c r="R100" s="194">
        <v>0.51724135875701904</v>
      </c>
      <c r="S100" s="194">
        <v>29</v>
      </c>
      <c r="T100" s="194">
        <v>0.67021274566650391</v>
      </c>
      <c r="U100" s="194">
        <v>0.71428573131561279</v>
      </c>
      <c r="V100" s="194">
        <v>35</v>
      </c>
      <c r="W100" s="194">
        <v>0.76237624883651733</v>
      </c>
      <c r="X100" s="194">
        <v>0.76666665077209473</v>
      </c>
      <c r="Y100" s="194">
        <v>30</v>
      </c>
      <c r="Z100" s="194">
        <v>0.79411762952804565</v>
      </c>
      <c r="AA100" s="194">
        <v>0.80555558204650879</v>
      </c>
      <c r="AB100" s="194">
        <v>36</v>
      </c>
      <c r="AC100" s="194">
        <v>0.79831933975219727</v>
      </c>
      <c r="AD100" s="194">
        <v>0.80555558204650879</v>
      </c>
      <c r="AE100" s="194">
        <v>36</v>
      </c>
      <c r="AF100" s="194">
        <v>0.75193798542022705</v>
      </c>
      <c r="AG100" s="194">
        <v>0.78723406791687012</v>
      </c>
      <c r="AH100" s="194">
        <v>47</v>
      </c>
      <c r="AI100" s="194">
        <v>0.73118281364440918</v>
      </c>
      <c r="AJ100" s="194">
        <v>0.67391306161880493</v>
      </c>
      <c r="AK100" s="194">
        <v>46</v>
      </c>
      <c r="AL100" s="140"/>
      <c r="AM100" s="140"/>
      <c r="AN100" s="140"/>
      <c r="AO100" s="140"/>
      <c r="AP100" s="140"/>
      <c r="AQ100" s="140"/>
      <c r="AR100" s="140"/>
      <c r="AS100" s="140"/>
      <c r="AT100" s="140"/>
      <c r="AU100" s="140"/>
      <c r="AV100" s="140"/>
      <c r="AW100" s="140"/>
      <c r="AX100" s="140"/>
      <c r="AY100" s="140"/>
      <c r="AZ100" s="140"/>
      <c r="BA100" s="140"/>
      <c r="BB100" s="140"/>
      <c r="BC100" s="140"/>
      <c r="BD100" s="140"/>
      <c r="BE100" s="140"/>
      <c r="BF100" s="140"/>
      <c r="BG100" s="140"/>
      <c r="BH100" s="140"/>
      <c r="BI100" s="140"/>
    </row>
    <row r="101" spans="1:61" x14ac:dyDescent="0.3">
      <c r="A101" s="193" t="s">
        <v>423</v>
      </c>
      <c r="B101" s="194">
        <v>0.56000000238418579</v>
      </c>
      <c r="C101" s="194">
        <v>0.53333336114883423</v>
      </c>
      <c r="D101" s="194">
        <v>15</v>
      </c>
      <c r="E101" s="194">
        <v>0.59459459781646729</v>
      </c>
      <c r="F101" s="194">
        <v>0.60000002384185791</v>
      </c>
      <c r="G101" s="194">
        <v>10</v>
      </c>
      <c r="H101" s="194">
        <v>0.66666668653488159</v>
      </c>
      <c r="I101" s="194">
        <v>0.66666668653488159</v>
      </c>
      <c r="J101" s="194">
        <v>12</v>
      </c>
      <c r="K101" s="194">
        <v>0.70588237047195435</v>
      </c>
      <c r="L101" s="194">
        <v>0.72727274894714355</v>
      </c>
      <c r="M101" s="194">
        <v>11</v>
      </c>
      <c r="N101" s="194">
        <v>0.58823531866073608</v>
      </c>
      <c r="O101" s="194">
        <v>0.72727274894714355</v>
      </c>
      <c r="P101" s="194">
        <v>11</v>
      </c>
      <c r="Q101" s="194">
        <v>0.46666666865348816</v>
      </c>
      <c r="R101" s="194">
        <v>0.3333333432674408</v>
      </c>
      <c r="S101" s="194">
        <v>12</v>
      </c>
      <c r="T101" s="194">
        <v>0.35555556416511536</v>
      </c>
      <c r="U101" s="194">
        <v>0.40909090638160706</v>
      </c>
      <c r="V101" s="194">
        <v>22</v>
      </c>
      <c r="W101" s="194">
        <v>0.43137255311012268</v>
      </c>
      <c r="X101" s="194">
        <v>0.27272728085517883</v>
      </c>
      <c r="Y101" s="194">
        <v>11</v>
      </c>
      <c r="Z101" s="194">
        <v>0.43636363744735718</v>
      </c>
      <c r="AA101" s="194">
        <v>0.55555558204650879</v>
      </c>
      <c r="AB101" s="194">
        <v>18</v>
      </c>
      <c r="AC101" s="194">
        <v>0.53846156597137451</v>
      </c>
      <c r="AD101" s="194">
        <v>0.42307692766189575</v>
      </c>
      <c r="AE101" s="194">
        <v>26</v>
      </c>
      <c r="AF101" s="194">
        <v>0.60000002384185791</v>
      </c>
      <c r="AG101" s="194">
        <v>0.66666668653488159</v>
      </c>
      <c r="AH101" s="194">
        <v>21</v>
      </c>
      <c r="AI101" s="194">
        <v>0.71794873476028442</v>
      </c>
      <c r="AJ101" s="194">
        <v>0.77777779102325439</v>
      </c>
      <c r="AK101" s="194">
        <v>18</v>
      </c>
      <c r="AL101" s="140"/>
      <c r="AM101" s="140"/>
      <c r="AN101" s="140"/>
      <c r="AO101" s="140"/>
      <c r="AP101" s="140"/>
      <c r="AQ101" s="140"/>
      <c r="AR101" s="140"/>
      <c r="AS101" s="140"/>
      <c r="AT101" s="140"/>
      <c r="AU101" s="140"/>
      <c r="AV101" s="140"/>
      <c r="AW101" s="140"/>
      <c r="AX101" s="140"/>
      <c r="AY101" s="140"/>
      <c r="AZ101" s="140"/>
      <c r="BA101" s="140"/>
      <c r="BB101" s="140"/>
      <c r="BC101" s="140"/>
      <c r="BD101" s="140"/>
      <c r="BE101" s="140"/>
      <c r="BF101" s="140"/>
      <c r="BG101" s="140"/>
      <c r="BH101" s="140"/>
      <c r="BI101" s="140"/>
    </row>
    <row r="102" spans="1:61" x14ac:dyDescent="0.3">
      <c r="A102" s="193" t="s">
        <v>374</v>
      </c>
      <c r="B102" s="194">
        <v>0.26530611515045166</v>
      </c>
      <c r="C102" s="194">
        <v>0.2142857164144516</v>
      </c>
      <c r="D102" s="194">
        <v>28</v>
      </c>
      <c r="E102" s="194">
        <v>0.24637681245803833</v>
      </c>
      <c r="F102" s="194">
        <v>0.3333333432674408</v>
      </c>
      <c r="G102" s="194">
        <v>21</v>
      </c>
      <c r="H102" s="194">
        <v>0.31428572535514832</v>
      </c>
      <c r="I102" s="194">
        <v>0.20000000298023224</v>
      </c>
      <c r="J102" s="194">
        <v>20</v>
      </c>
      <c r="K102" s="194">
        <v>0.28985506296157837</v>
      </c>
      <c r="L102" s="194">
        <v>0.37931033968925476</v>
      </c>
      <c r="M102" s="194">
        <v>29</v>
      </c>
      <c r="N102" s="194">
        <v>0.29487180709838867</v>
      </c>
      <c r="O102" s="194">
        <v>0.25</v>
      </c>
      <c r="P102" s="194">
        <v>20</v>
      </c>
      <c r="Q102" s="194">
        <v>0.22077922523021698</v>
      </c>
      <c r="R102" s="194">
        <v>0.24137930572032928</v>
      </c>
      <c r="S102" s="194">
        <v>29</v>
      </c>
      <c r="T102" s="194">
        <v>0.24390244483947754</v>
      </c>
      <c r="U102" s="194">
        <v>0.1785714328289032</v>
      </c>
      <c r="V102" s="194">
        <v>28</v>
      </c>
      <c r="W102" s="194">
        <v>0.25974026322364807</v>
      </c>
      <c r="X102" s="194">
        <v>0.31999999284744263</v>
      </c>
      <c r="Y102" s="194">
        <v>25</v>
      </c>
      <c r="Z102" s="194">
        <v>0.3194444477558136</v>
      </c>
      <c r="AA102" s="194">
        <v>0.2916666567325592</v>
      </c>
      <c r="AB102" s="194">
        <v>24</v>
      </c>
      <c r="AC102" s="194">
        <v>0.24096386134624481</v>
      </c>
      <c r="AD102" s="194">
        <v>0.34782609343528748</v>
      </c>
      <c r="AE102" s="194">
        <v>23</v>
      </c>
      <c r="AF102" s="194">
        <v>0.2142857164144516</v>
      </c>
      <c r="AG102" s="194">
        <v>0.1388888955116272</v>
      </c>
      <c r="AH102" s="194">
        <v>36</v>
      </c>
      <c r="AI102" s="194">
        <v>0.17333333194255829</v>
      </c>
      <c r="AJ102" s="194">
        <v>0.20512820780277252</v>
      </c>
      <c r="AK102" s="194">
        <v>39</v>
      </c>
      <c r="AL102" s="140"/>
      <c r="AM102" s="140"/>
      <c r="AN102" s="140"/>
      <c r="AO102" s="140"/>
      <c r="AP102" s="140"/>
      <c r="AQ102" s="140"/>
      <c r="AR102" s="140"/>
      <c r="AS102" s="140"/>
      <c r="AT102" s="140"/>
      <c r="AU102" s="140"/>
      <c r="AV102" s="140"/>
      <c r="AW102" s="140"/>
      <c r="AX102" s="140"/>
      <c r="AY102" s="140"/>
      <c r="AZ102" s="140"/>
      <c r="BA102" s="140"/>
      <c r="BB102" s="140"/>
      <c r="BC102" s="140"/>
      <c r="BD102" s="140"/>
      <c r="BE102" s="140"/>
      <c r="BF102" s="140"/>
      <c r="BG102" s="140"/>
      <c r="BH102" s="140"/>
      <c r="BI102" s="140"/>
    </row>
    <row r="103" spans="1:61" x14ac:dyDescent="0.3">
      <c r="A103" s="193" t="s">
        <v>512</v>
      </c>
      <c r="B103" s="194">
        <v>0.34146341681480408</v>
      </c>
      <c r="C103" s="194">
        <v>0.38461539149284363</v>
      </c>
      <c r="D103" s="194">
        <v>26</v>
      </c>
      <c r="E103" s="194">
        <v>0.3684210479259491</v>
      </c>
      <c r="F103" s="194">
        <v>0.26666668057441711</v>
      </c>
      <c r="G103" s="194">
        <v>15</v>
      </c>
      <c r="H103" s="194">
        <v>0.46666666865348816</v>
      </c>
      <c r="I103" s="194">
        <v>0.4375</v>
      </c>
      <c r="J103" s="194">
        <v>16</v>
      </c>
      <c r="K103" s="194">
        <v>0.57352942228317261</v>
      </c>
      <c r="L103" s="194">
        <v>0.58620691299438477</v>
      </c>
      <c r="M103" s="194">
        <v>29</v>
      </c>
      <c r="N103" s="194">
        <v>0.62921351194381714</v>
      </c>
      <c r="O103" s="194">
        <v>0.65217393636703491</v>
      </c>
      <c r="P103" s="194">
        <v>23</v>
      </c>
      <c r="Q103" s="194">
        <v>0.61176472902297974</v>
      </c>
      <c r="R103" s="194">
        <v>0.64864861965179443</v>
      </c>
      <c r="S103" s="194">
        <v>37</v>
      </c>
      <c r="T103" s="194">
        <v>0.55789476633071899</v>
      </c>
      <c r="U103" s="194">
        <v>0.51999998092651367</v>
      </c>
      <c r="V103" s="194">
        <v>25</v>
      </c>
      <c r="W103" s="194">
        <v>0.51190477609634399</v>
      </c>
      <c r="X103" s="194">
        <v>0.4848484992980957</v>
      </c>
      <c r="Y103" s="194">
        <v>33</v>
      </c>
      <c r="Z103" s="194">
        <v>0.4883720874786377</v>
      </c>
      <c r="AA103" s="194">
        <v>0.53846156597137451</v>
      </c>
      <c r="AB103" s="194">
        <v>26</v>
      </c>
      <c r="AC103" s="194">
        <v>0.5</v>
      </c>
      <c r="AD103" s="194">
        <v>0.4444444477558136</v>
      </c>
      <c r="AE103" s="194">
        <v>27</v>
      </c>
      <c r="AF103" s="194">
        <v>0.48717948794364929</v>
      </c>
      <c r="AG103" s="194">
        <v>0.52631580829620361</v>
      </c>
      <c r="AH103" s="194">
        <v>19</v>
      </c>
      <c r="AI103" s="194">
        <v>0.50980395078659058</v>
      </c>
      <c r="AJ103" s="194">
        <v>0.5</v>
      </c>
      <c r="AK103" s="194">
        <v>32</v>
      </c>
      <c r="AL103" s="140"/>
      <c r="AM103" s="140"/>
      <c r="AN103" s="140"/>
      <c r="AO103" s="140"/>
      <c r="AP103" s="140"/>
      <c r="AQ103" s="140"/>
      <c r="AR103" s="140"/>
      <c r="AS103" s="140"/>
      <c r="AT103" s="140"/>
      <c r="AU103" s="140"/>
      <c r="AV103" s="140"/>
      <c r="AW103" s="140"/>
      <c r="AX103" s="140"/>
      <c r="AY103" s="140"/>
      <c r="AZ103" s="140"/>
      <c r="BA103" s="140"/>
      <c r="BB103" s="140"/>
      <c r="BC103" s="140"/>
      <c r="BD103" s="140"/>
      <c r="BE103" s="140"/>
      <c r="BF103" s="140"/>
      <c r="BG103" s="140"/>
      <c r="BH103" s="140"/>
      <c r="BI103" s="140"/>
    </row>
    <row r="104" spans="1:61" x14ac:dyDescent="0.3">
      <c r="A104" s="193" t="s">
        <v>528</v>
      </c>
      <c r="B104" s="194">
        <v>0.68000000715255737</v>
      </c>
      <c r="C104" s="194">
        <v>0.71875</v>
      </c>
      <c r="D104" s="194">
        <v>32</v>
      </c>
      <c r="E104" s="194">
        <v>0.64864861965179443</v>
      </c>
      <c r="F104" s="194">
        <v>0.6111111044883728</v>
      </c>
      <c r="G104" s="194">
        <v>18</v>
      </c>
      <c r="H104" s="194">
        <v>0.52941179275512695</v>
      </c>
      <c r="I104" s="194">
        <v>0.58333331346511841</v>
      </c>
      <c r="J104" s="194">
        <v>24</v>
      </c>
      <c r="K104" s="194">
        <v>0.43421053886413574</v>
      </c>
      <c r="L104" s="194">
        <v>0.42307692766189575</v>
      </c>
      <c r="M104" s="194">
        <v>26</v>
      </c>
      <c r="N104" s="194">
        <v>0.41025641560554504</v>
      </c>
      <c r="O104" s="194">
        <v>0.30769231915473938</v>
      </c>
      <c r="P104" s="194">
        <v>26</v>
      </c>
      <c r="Q104" s="194">
        <v>0.48750001192092896</v>
      </c>
      <c r="R104" s="194">
        <v>0.5</v>
      </c>
      <c r="S104" s="194">
        <v>26</v>
      </c>
      <c r="T104" s="194">
        <v>0.60439562797546387</v>
      </c>
      <c r="U104" s="194">
        <v>0.6428571343421936</v>
      </c>
      <c r="V104" s="194">
        <v>28</v>
      </c>
      <c r="W104" s="194">
        <v>0.64210528135299683</v>
      </c>
      <c r="X104" s="194">
        <v>0.64864861965179443</v>
      </c>
      <c r="Y104" s="194">
        <v>37</v>
      </c>
      <c r="Z104" s="194">
        <v>0.60000002384185791</v>
      </c>
      <c r="AA104" s="194">
        <v>0.63333332538604736</v>
      </c>
      <c r="AB104" s="194">
        <v>30</v>
      </c>
      <c r="AC104" s="194">
        <v>0.62727272510528564</v>
      </c>
      <c r="AD104" s="194">
        <v>0.52631580829620361</v>
      </c>
      <c r="AE104" s="194">
        <v>38</v>
      </c>
      <c r="AF104" s="194">
        <v>0.66923075914382935</v>
      </c>
      <c r="AG104" s="194">
        <v>0.71428573131561279</v>
      </c>
      <c r="AH104" s="194">
        <v>42</v>
      </c>
      <c r="AI104" s="194">
        <v>0.72826087474822998</v>
      </c>
      <c r="AJ104" s="194">
        <v>0.74000000953674316</v>
      </c>
      <c r="AK104" s="194">
        <v>50</v>
      </c>
      <c r="AL104" s="140"/>
      <c r="AM104" s="140"/>
      <c r="AN104" s="140"/>
      <c r="AO104" s="140"/>
      <c r="AP104" s="140"/>
      <c r="AQ104" s="140"/>
      <c r="AR104" s="140"/>
      <c r="AS104" s="140"/>
      <c r="AT104" s="140"/>
      <c r="AU104" s="140"/>
      <c r="AV104" s="140"/>
      <c r="AW104" s="140"/>
      <c r="AX104" s="140"/>
      <c r="AY104" s="140"/>
      <c r="AZ104" s="140"/>
      <c r="BA104" s="140"/>
      <c r="BB104" s="140"/>
      <c r="BC104" s="140"/>
      <c r="BD104" s="140"/>
      <c r="BE104" s="140"/>
      <c r="BF104" s="140"/>
      <c r="BG104" s="140"/>
      <c r="BH104" s="140"/>
      <c r="BI104" s="140"/>
    </row>
    <row r="105" spans="1:61" x14ac:dyDescent="0.3">
      <c r="A105" s="193" t="s">
        <v>400</v>
      </c>
      <c r="B105" s="194">
        <v>0.6428571343421936</v>
      </c>
      <c r="C105" s="194">
        <v>0.6875</v>
      </c>
      <c r="D105" s="194">
        <v>16</v>
      </c>
      <c r="E105" s="194">
        <v>0.65116280317306519</v>
      </c>
      <c r="F105" s="194">
        <v>0.58333331346511841</v>
      </c>
      <c r="G105" s="194">
        <v>12</v>
      </c>
      <c r="H105" s="194">
        <v>0.62162160873413086</v>
      </c>
      <c r="I105" s="194">
        <v>0.66666668653488159</v>
      </c>
      <c r="J105" s="194">
        <v>15</v>
      </c>
      <c r="K105" s="194">
        <v>0.63829785585403442</v>
      </c>
      <c r="L105" s="194">
        <v>0.60000002384185791</v>
      </c>
      <c r="M105" s="194">
        <v>10</v>
      </c>
      <c r="N105" s="194">
        <v>0.61702126264572144</v>
      </c>
      <c r="O105" s="194">
        <v>0.63636362552642822</v>
      </c>
      <c r="P105" s="194">
        <v>22</v>
      </c>
      <c r="Q105" s="194">
        <v>0.59090906381607056</v>
      </c>
      <c r="R105" s="194">
        <v>0.60000002384185791</v>
      </c>
      <c r="S105" s="194">
        <v>15</v>
      </c>
      <c r="T105" s="194">
        <v>0.5476190447807312</v>
      </c>
      <c r="U105" s="194">
        <v>0.4285714328289032</v>
      </c>
      <c r="V105" s="194">
        <v>7</v>
      </c>
      <c r="W105" s="194">
        <v>0.58139532804489136</v>
      </c>
      <c r="X105" s="194">
        <v>0.55000001192092896</v>
      </c>
      <c r="Y105" s="194">
        <v>20</v>
      </c>
      <c r="Z105" s="194">
        <v>0.625</v>
      </c>
      <c r="AA105" s="194">
        <v>0.6875</v>
      </c>
      <c r="AB105" s="194">
        <v>16</v>
      </c>
      <c r="AC105" s="194">
        <v>0.53571426868438721</v>
      </c>
      <c r="AD105" s="194">
        <v>0.64999997615814209</v>
      </c>
      <c r="AE105" s="194">
        <v>20</v>
      </c>
      <c r="AF105" s="194">
        <v>0.43103447556495667</v>
      </c>
      <c r="AG105" s="194">
        <v>0.30000001192092896</v>
      </c>
      <c r="AH105" s="194">
        <v>20</v>
      </c>
      <c r="AI105" s="194">
        <v>0.31578946113586426</v>
      </c>
      <c r="AJ105" s="194">
        <v>0.3333333432674408</v>
      </c>
      <c r="AK105" s="194">
        <v>18</v>
      </c>
      <c r="AL105" s="140"/>
      <c r="AM105" s="140"/>
      <c r="AN105" s="140"/>
      <c r="AO105" s="140"/>
      <c r="AP105" s="140"/>
      <c r="AQ105" s="140"/>
      <c r="AR105" s="140"/>
      <c r="AS105" s="140"/>
      <c r="AT105" s="140"/>
      <c r="AU105" s="140"/>
      <c r="AV105" s="140"/>
      <c r="AW105" s="140"/>
      <c r="AX105" s="140"/>
      <c r="AY105" s="140"/>
      <c r="AZ105" s="140"/>
      <c r="BA105" s="140"/>
      <c r="BB105" s="140"/>
      <c r="BC105" s="140"/>
      <c r="BD105" s="140"/>
      <c r="BE105" s="140"/>
      <c r="BF105" s="140"/>
      <c r="BG105" s="140"/>
      <c r="BH105" s="140"/>
      <c r="BI105" s="140"/>
    </row>
    <row r="106" spans="1:61" x14ac:dyDescent="0.3">
      <c r="A106" s="193" t="s">
        <v>540</v>
      </c>
      <c r="B106" s="194">
        <v>0.60000002384185791</v>
      </c>
      <c r="C106" s="194">
        <v>0.64999997615814209</v>
      </c>
      <c r="D106" s="194">
        <v>20</v>
      </c>
      <c r="E106" s="194">
        <v>0.62222224473953247</v>
      </c>
      <c r="F106" s="194">
        <v>0.53333336114883423</v>
      </c>
      <c r="G106" s="194">
        <v>15</v>
      </c>
      <c r="H106" s="194">
        <v>0.51351350545883179</v>
      </c>
      <c r="I106" s="194">
        <v>0.69999998807907104</v>
      </c>
      <c r="J106" s="194">
        <v>10</v>
      </c>
      <c r="K106" s="194">
        <v>0.5</v>
      </c>
      <c r="L106" s="194">
        <v>0.3333333432674408</v>
      </c>
      <c r="M106" s="194">
        <v>12</v>
      </c>
      <c r="N106" s="194">
        <v>0.34285715222358704</v>
      </c>
      <c r="O106" s="194">
        <v>0.5</v>
      </c>
      <c r="P106" s="194">
        <v>12</v>
      </c>
      <c r="Q106" s="194">
        <v>0.28125</v>
      </c>
      <c r="R106" s="194">
        <v>0.18181818723678589</v>
      </c>
      <c r="S106" s="194">
        <v>11</v>
      </c>
      <c r="T106" s="194">
        <v>0.29032257199287415</v>
      </c>
      <c r="U106" s="194">
        <v>0.1111111119389534</v>
      </c>
      <c r="V106" s="194">
        <v>9</v>
      </c>
      <c r="W106" s="194">
        <v>0.45714285969734192</v>
      </c>
      <c r="X106" s="194">
        <v>0.54545456171035767</v>
      </c>
      <c r="Y106" s="194">
        <v>11</v>
      </c>
      <c r="Z106" s="194">
        <v>0.58333331346511841</v>
      </c>
      <c r="AA106" s="194">
        <v>0.60000002384185791</v>
      </c>
      <c r="AB106" s="194">
        <v>15</v>
      </c>
      <c r="AC106" s="194">
        <v>0.55102038383483887</v>
      </c>
      <c r="AD106" s="194">
        <v>0.59090906381607056</v>
      </c>
      <c r="AE106" s="194">
        <v>22</v>
      </c>
      <c r="AF106" s="194">
        <v>0.54000002145767212</v>
      </c>
      <c r="AG106" s="194">
        <v>0.4166666567325592</v>
      </c>
      <c r="AH106" s="194">
        <v>12</v>
      </c>
      <c r="AI106" s="194">
        <v>0.5</v>
      </c>
      <c r="AJ106" s="194">
        <v>0.5625</v>
      </c>
      <c r="AK106" s="194">
        <v>16</v>
      </c>
      <c r="AL106" s="140"/>
      <c r="AM106" s="140"/>
      <c r="AN106" s="140"/>
      <c r="AO106" s="140"/>
      <c r="AP106" s="140"/>
      <c r="AQ106" s="140"/>
      <c r="AR106" s="140"/>
      <c r="AS106" s="140"/>
      <c r="AT106" s="140"/>
      <c r="AU106" s="140"/>
      <c r="AV106" s="140"/>
      <c r="AW106" s="140"/>
      <c r="AX106" s="140"/>
      <c r="AY106" s="140"/>
      <c r="AZ106" s="140"/>
      <c r="BA106" s="140"/>
      <c r="BB106" s="140"/>
      <c r="BC106" s="140"/>
      <c r="BD106" s="140"/>
      <c r="BE106" s="140"/>
      <c r="BF106" s="140"/>
      <c r="BG106" s="140"/>
      <c r="BH106" s="140"/>
      <c r="BI106" s="140"/>
    </row>
    <row r="107" spans="1:61" x14ac:dyDescent="0.3">
      <c r="A107" s="193" t="s">
        <v>337</v>
      </c>
      <c r="B107" s="194">
        <v>0.63157892227172852</v>
      </c>
      <c r="C107" s="194">
        <v>1</v>
      </c>
      <c r="D107" s="194">
        <v>7</v>
      </c>
      <c r="E107" s="194">
        <v>0.62962961196899414</v>
      </c>
      <c r="F107" s="194">
        <v>0.4166666567325592</v>
      </c>
      <c r="G107" s="194">
        <v>12</v>
      </c>
      <c r="H107" s="194">
        <v>0.5</v>
      </c>
      <c r="I107" s="194">
        <v>0.625</v>
      </c>
      <c r="J107" s="194">
        <v>8</v>
      </c>
      <c r="K107" s="194">
        <v>0.625</v>
      </c>
      <c r="L107" s="194">
        <v>0.5</v>
      </c>
      <c r="M107" s="194">
        <v>6</v>
      </c>
      <c r="N107" s="194">
        <v>0.4375</v>
      </c>
      <c r="O107" s="194">
        <v>0.69999998807907104</v>
      </c>
      <c r="P107" s="194">
        <v>10</v>
      </c>
      <c r="Q107" s="194">
        <v>0.56818181276321411</v>
      </c>
      <c r="R107" s="194">
        <v>0.25</v>
      </c>
      <c r="S107" s="194">
        <v>16</v>
      </c>
      <c r="T107" s="194">
        <v>0.60416668653488159</v>
      </c>
      <c r="U107" s="194">
        <v>0.77777779102325439</v>
      </c>
      <c r="V107" s="194">
        <v>18</v>
      </c>
      <c r="W107" s="194">
        <v>0.75510203838348389</v>
      </c>
      <c r="X107" s="194">
        <v>0.78571426868438721</v>
      </c>
      <c r="Y107" s="194">
        <v>14</v>
      </c>
      <c r="Z107" s="194">
        <v>0.73913043737411499</v>
      </c>
      <c r="AA107" s="194">
        <v>0.70588237047195435</v>
      </c>
      <c r="AB107" s="194">
        <v>17</v>
      </c>
      <c r="AC107" s="194">
        <v>0.67213112115859985</v>
      </c>
      <c r="AD107" s="194">
        <v>0.73333334922790527</v>
      </c>
      <c r="AE107" s="194">
        <v>15</v>
      </c>
      <c r="AF107" s="194">
        <v>0.53846156597137451</v>
      </c>
      <c r="AG107" s="194">
        <v>0.62068963050842285</v>
      </c>
      <c r="AH107" s="194">
        <v>29</v>
      </c>
      <c r="AI107" s="194">
        <v>0.47999998927116394</v>
      </c>
      <c r="AJ107" s="194">
        <v>0.28571429848670959</v>
      </c>
      <c r="AK107" s="194">
        <v>21</v>
      </c>
      <c r="AL107" s="140"/>
      <c r="AM107" s="140"/>
      <c r="AN107" s="140"/>
      <c r="AO107" s="140"/>
      <c r="AP107" s="140"/>
      <c r="AQ107" s="140"/>
      <c r="AR107" s="140"/>
      <c r="AS107" s="140"/>
      <c r="AT107" s="140"/>
      <c r="AU107" s="140"/>
      <c r="AV107" s="140"/>
      <c r="AW107" s="140"/>
      <c r="AX107" s="140"/>
      <c r="AY107" s="140"/>
      <c r="AZ107" s="140"/>
      <c r="BA107" s="140"/>
      <c r="BB107" s="140"/>
      <c r="BC107" s="140"/>
      <c r="BD107" s="140"/>
      <c r="BE107" s="140"/>
      <c r="BF107" s="140"/>
      <c r="BG107" s="140"/>
      <c r="BH107" s="140"/>
      <c r="BI107" s="140"/>
    </row>
    <row r="108" spans="1:61" x14ac:dyDescent="0.3">
      <c r="A108" s="193" t="s">
        <v>482</v>
      </c>
      <c r="B108" s="194">
        <v>0.15789473056793213</v>
      </c>
      <c r="C108" s="194">
        <v>0.15151515603065491</v>
      </c>
      <c r="D108" s="194">
        <v>33</v>
      </c>
      <c r="E108" s="194">
        <v>0.15909090638160706</v>
      </c>
      <c r="F108" s="194">
        <v>0.1666666716337204</v>
      </c>
      <c r="G108" s="194">
        <v>24</v>
      </c>
      <c r="H108" s="194">
        <v>0.12820513546466827</v>
      </c>
      <c r="I108" s="194">
        <v>0.16129031777381897</v>
      </c>
      <c r="J108" s="194">
        <v>31</v>
      </c>
      <c r="K108" s="194">
        <v>9.8765432834625244E-2</v>
      </c>
      <c r="L108" s="194">
        <v>4.3478261679410934E-2</v>
      </c>
      <c r="M108" s="194">
        <v>23</v>
      </c>
      <c r="N108" s="194">
        <v>6.4102567732334137E-2</v>
      </c>
      <c r="O108" s="194">
        <v>7.4074074625968933E-2</v>
      </c>
      <c r="P108" s="194">
        <v>27</v>
      </c>
      <c r="Q108" s="194">
        <v>6.7415729165077209E-2</v>
      </c>
      <c r="R108" s="194">
        <v>7.1428574621677399E-2</v>
      </c>
      <c r="S108" s="194">
        <v>28</v>
      </c>
      <c r="T108" s="194">
        <v>7.6086953282356262E-2</v>
      </c>
      <c r="U108" s="194">
        <v>5.8823529630899429E-2</v>
      </c>
      <c r="V108" s="194">
        <v>34</v>
      </c>
      <c r="W108" s="194">
        <v>8.235294371843338E-2</v>
      </c>
      <c r="X108" s="194">
        <v>0.10000000149011612</v>
      </c>
      <c r="Y108" s="194">
        <v>30</v>
      </c>
      <c r="Z108" s="194">
        <v>9.7222223877906799E-2</v>
      </c>
      <c r="AA108" s="194">
        <v>9.5238097012042999E-2</v>
      </c>
      <c r="AB108" s="194">
        <v>21</v>
      </c>
      <c r="AC108" s="194">
        <v>0.16949152946472168</v>
      </c>
      <c r="AD108" s="194">
        <v>9.5238097012042999E-2</v>
      </c>
      <c r="AE108" s="194">
        <v>21</v>
      </c>
      <c r="AF108" s="194">
        <v>0.3888888955116272</v>
      </c>
      <c r="AG108" s="194">
        <v>0.35294118523597717</v>
      </c>
      <c r="AH108" s="194">
        <v>17</v>
      </c>
      <c r="AI108" s="194">
        <v>0.50980395078659058</v>
      </c>
      <c r="AJ108" s="194">
        <v>0.58823531866073608</v>
      </c>
      <c r="AK108" s="194">
        <v>34</v>
      </c>
      <c r="AL108" s="140"/>
      <c r="AM108" s="140"/>
      <c r="AN108" s="140"/>
      <c r="AO108" s="140"/>
      <c r="AP108" s="140"/>
      <c r="AQ108" s="140"/>
      <c r="AR108" s="140"/>
      <c r="AS108" s="140"/>
      <c r="AT108" s="140"/>
      <c r="AU108" s="140"/>
      <c r="AV108" s="140"/>
      <c r="AW108" s="140"/>
      <c r="AX108" s="140"/>
      <c r="AY108" s="140"/>
      <c r="AZ108" s="140"/>
      <c r="BA108" s="140"/>
      <c r="BB108" s="140"/>
      <c r="BC108" s="140"/>
      <c r="BD108" s="140"/>
      <c r="BE108" s="140"/>
      <c r="BF108" s="140"/>
      <c r="BG108" s="140"/>
      <c r="BH108" s="140"/>
      <c r="BI108" s="140"/>
    </row>
    <row r="109" spans="1:61" x14ac:dyDescent="0.3">
      <c r="A109" s="193" t="s">
        <v>546</v>
      </c>
      <c r="B109" s="194">
        <v>0.41860464215278625</v>
      </c>
      <c r="C109" s="194">
        <v>0.4375</v>
      </c>
      <c r="D109" s="194">
        <v>16</v>
      </c>
      <c r="E109" s="194">
        <v>0.3194444477558136</v>
      </c>
      <c r="F109" s="194">
        <v>0.40740740299224854</v>
      </c>
      <c r="G109" s="194">
        <v>27</v>
      </c>
      <c r="H109" s="194">
        <v>0.20731706917285919</v>
      </c>
      <c r="I109" s="194">
        <v>0.17241379618644714</v>
      </c>
      <c r="J109" s="194">
        <v>29</v>
      </c>
      <c r="K109" s="194">
        <v>0.17073170840740204</v>
      </c>
      <c r="L109" s="194">
        <v>3.8461539894342422E-2</v>
      </c>
      <c r="M109" s="194">
        <v>26</v>
      </c>
      <c r="N109" s="194">
        <v>0.14666666090488434</v>
      </c>
      <c r="O109" s="194">
        <v>0.29629629850387573</v>
      </c>
      <c r="P109" s="194">
        <v>27</v>
      </c>
      <c r="Q109" s="194">
        <v>0.1785714328289032</v>
      </c>
      <c r="R109" s="194">
        <v>9.0909093618392944E-2</v>
      </c>
      <c r="S109" s="194">
        <v>22</v>
      </c>
      <c r="T109" s="194">
        <v>0.1702127605676651</v>
      </c>
      <c r="U109" s="194">
        <v>0</v>
      </c>
      <c r="V109" s="194">
        <v>7</v>
      </c>
      <c r="W109" s="194">
        <v>0.25</v>
      </c>
      <c r="X109" s="194">
        <v>0.3333333432674408</v>
      </c>
      <c r="Y109" s="194">
        <v>18</v>
      </c>
      <c r="Z109" s="194">
        <v>0.22807016968727112</v>
      </c>
      <c r="AA109" s="194">
        <v>0.25925925374031067</v>
      </c>
      <c r="AB109" s="194">
        <v>27</v>
      </c>
      <c r="AC109" s="194">
        <v>0.17307692766189575</v>
      </c>
      <c r="AD109" s="194">
        <v>0</v>
      </c>
      <c r="AE109" s="194">
        <v>12</v>
      </c>
      <c r="AF109" s="194">
        <v>0.10638298094272614</v>
      </c>
      <c r="AG109" s="194">
        <v>0.15384615957736969</v>
      </c>
      <c r="AH109" s="194">
        <v>13</v>
      </c>
      <c r="AI109" s="194">
        <v>0.1428571492433548</v>
      </c>
      <c r="AJ109" s="194">
        <v>0.13636364042758942</v>
      </c>
      <c r="AK109" s="194">
        <v>22</v>
      </c>
      <c r="AL109" s="140"/>
      <c r="AM109" s="140"/>
      <c r="AN109" s="140"/>
      <c r="AO109" s="140"/>
      <c r="AP109" s="140"/>
      <c r="AQ109" s="140"/>
      <c r="AR109" s="140"/>
      <c r="AS109" s="140"/>
      <c r="AT109" s="140"/>
      <c r="AU109" s="140"/>
      <c r="AV109" s="140"/>
      <c r="AW109" s="140"/>
      <c r="AX109" s="140"/>
      <c r="AY109" s="140"/>
      <c r="AZ109" s="140"/>
      <c r="BA109" s="140"/>
      <c r="BB109" s="140"/>
      <c r="BC109" s="140"/>
      <c r="BD109" s="140"/>
      <c r="BE109" s="140"/>
      <c r="BF109" s="140"/>
      <c r="BG109" s="140"/>
      <c r="BH109" s="140"/>
      <c r="BI109" s="140"/>
    </row>
    <row r="110" spans="1:61" x14ac:dyDescent="0.3">
      <c r="A110" s="193" t="s">
        <v>538</v>
      </c>
      <c r="B110" s="194">
        <v>0.67857140302658081</v>
      </c>
      <c r="C110" s="194">
        <v>0.75</v>
      </c>
      <c r="D110" s="194">
        <v>12</v>
      </c>
      <c r="E110" s="194">
        <v>0.70270270109176636</v>
      </c>
      <c r="F110" s="194">
        <v>0.625</v>
      </c>
      <c r="G110" s="194">
        <v>16</v>
      </c>
      <c r="H110" s="194">
        <v>0.67647057771682739</v>
      </c>
      <c r="I110" s="194">
        <v>0.77777779102325439</v>
      </c>
      <c r="J110" s="194">
        <v>9</v>
      </c>
      <c r="K110" s="194">
        <v>0.68181818723678589</v>
      </c>
      <c r="L110" s="194">
        <v>0.66666668653488159</v>
      </c>
      <c r="M110" s="194">
        <v>9</v>
      </c>
      <c r="N110" s="194">
        <v>0.57142859697341919</v>
      </c>
      <c r="O110" s="194">
        <v>0.5</v>
      </c>
      <c r="P110" s="194">
        <v>4</v>
      </c>
      <c r="Q110" s="194">
        <v>0.4285714328289032</v>
      </c>
      <c r="R110" s="194">
        <v>0</v>
      </c>
      <c r="S110" s="194">
        <v>1</v>
      </c>
      <c r="T110" s="194">
        <v>0.5</v>
      </c>
      <c r="U110" s="194">
        <v>0.5</v>
      </c>
      <c r="V110" s="194">
        <v>2</v>
      </c>
      <c r="W110" s="194">
        <v>0.60000002384185791</v>
      </c>
      <c r="X110" s="194">
        <v>0.66666668653488159</v>
      </c>
      <c r="Y110" s="194">
        <v>3</v>
      </c>
      <c r="Z110" s="194">
        <v>0.40000000596046448</v>
      </c>
      <c r="AA110" s="194"/>
      <c r="AB110" s="194"/>
      <c r="AC110" s="194">
        <v>0.625</v>
      </c>
      <c r="AD110" s="194">
        <v>0</v>
      </c>
      <c r="AE110" s="194">
        <v>2</v>
      </c>
      <c r="AF110" s="194">
        <v>0.63999998569488525</v>
      </c>
      <c r="AG110" s="194">
        <v>0.71428573131561279</v>
      </c>
      <c r="AH110" s="194">
        <v>14</v>
      </c>
      <c r="AI110" s="194">
        <v>0.69565218687057495</v>
      </c>
      <c r="AJ110" s="194">
        <v>0.66666668653488159</v>
      </c>
      <c r="AK110" s="194">
        <v>9</v>
      </c>
      <c r="AL110" s="140"/>
      <c r="AM110" s="140"/>
      <c r="AN110" s="140"/>
      <c r="AO110" s="140"/>
      <c r="AP110" s="140"/>
      <c r="AQ110" s="140"/>
      <c r="AR110" s="140"/>
      <c r="AS110" s="140"/>
      <c r="AT110" s="140"/>
      <c r="AU110" s="140"/>
      <c r="AV110" s="140"/>
      <c r="AW110" s="140"/>
      <c r="AX110" s="140"/>
      <c r="AY110" s="140"/>
      <c r="AZ110" s="140"/>
      <c r="BA110" s="140"/>
      <c r="BB110" s="140"/>
      <c r="BC110" s="140"/>
      <c r="BD110" s="140"/>
      <c r="BE110" s="140"/>
      <c r="BF110" s="140"/>
      <c r="BG110" s="140"/>
      <c r="BH110" s="140"/>
      <c r="BI110" s="140"/>
    </row>
    <row r="111" spans="1:61" x14ac:dyDescent="0.3">
      <c r="A111" s="193" t="s">
        <v>303</v>
      </c>
      <c r="B111" s="194">
        <v>0.70270270109176636</v>
      </c>
      <c r="C111" s="194">
        <v>0.88235294818878174</v>
      </c>
      <c r="D111" s="194">
        <v>17</v>
      </c>
      <c r="E111" s="194">
        <v>0.68518519401550293</v>
      </c>
      <c r="F111" s="194">
        <v>0.55000001192092896</v>
      </c>
      <c r="G111" s="194">
        <v>20</v>
      </c>
      <c r="H111" s="194">
        <v>0.72131145000457764</v>
      </c>
      <c r="I111" s="194">
        <v>0.64705884456634521</v>
      </c>
      <c r="J111" s="194">
        <v>17</v>
      </c>
      <c r="K111" s="194">
        <v>0.75409835577011108</v>
      </c>
      <c r="L111" s="194">
        <v>0.91666668653488159</v>
      </c>
      <c r="M111" s="194">
        <v>24</v>
      </c>
      <c r="N111" s="194">
        <v>0.80701756477355957</v>
      </c>
      <c r="O111" s="194">
        <v>0.64999997615814209</v>
      </c>
      <c r="P111" s="194">
        <v>20</v>
      </c>
      <c r="Q111" s="194">
        <v>0.77499997615814209</v>
      </c>
      <c r="R111" s="194">
        <v>0.8461538553237915</v>
      </c>
      <c r="S111" s="194">
        <v>13</v>
      </c>
      <c r="T111" s="194">
        <v>0.90243899822235107</v>
      </c>
      <c r="U111" s="194">
        <v>1</v>
      </c>
      <c r="V111" s="194">
        <v>7</v>
      </c>
      <c r="W111" s="194">
        <v>0.92307692766189575</v>
      </c>
      <c r="X111" s="194">
        <v>0.9047619104385376</v>
      </c>
      <c r="Y111" s="194">
        <v>21</v>
      </c>
      <c r="Z111" s="194">
        <v>0.87999999523162842</v>
      </c>
      <c r="AA111" s="194">
        <v>0.90909093618392944</v>
      </c>
      <c r="AB111" s="194">
        <v>11</v>
      </c>
      <c r="AC111" s="194">
        <v>0.796875</v>
      </c>
      <c r="AD111" s="194">
        <v>0.83333331346511841</v>
      </c>
      <c r="AE111" s="194">
        <v>18</v>
      </c>
      <c r="AF111" s="194">
        <v>0.7761194109916687</v>
      </c>
      <c r="AG111" s="194">
        <v>0.74285715818405151</v>
      </c>
      <c r="AH111" s="194">
        <v>35</v>
      </c>
      <c r="AI111" s="194">
        <v>0.75510203838348389</v>
      </c>
      <c r="AJ111" s="194">
        <v>0.78571426868438721</v>
      </c>
      <c r="AK111" s="194">
        <v>14</v>
      </c>
      <c r="AL111" s="140"/>
      <c r="AM111" s="140"/>
      <c r="AN111" s="140"/>
      <c r="AO111" s="140"/>
      <c r="AP111" s="140"/>
      <c r="AQ111" s="140"/>
      <c r="AR111" s="140"/>
      <c r="AS111" s="140"/>
      <c r="AT111" s="140"/>
      <c r="AU111" s="140"/>
      <c r="AV111" s="140"/>
      <c r="AW111" s="140"/>
      <c r="AX111" s="140"/>
      <c r="AY111" s="140"/>
      <c r="AZ111" s="140"/>
      <c r="BA111" s="140"/>
      <c r="BB111" s="140"/>
      <c r="BC111" s="140"/>
      <c r="BD111" s="140"/>
      <c r="BE111" s="140"/>
      <c r="BF111" s="140"/>
      <c r="BG111" s="140"/>
      <c r="BH111" s="140"/>
      <c r="BI111" s="140"/>
    </row>
    <row r="112" spans="1:61" x14ac:dyDescent="0.3">
      <c r="A112" s="193" t="s">
        <v>433</v>
      </c>
      <c r="B112" s="194">
        <v>0.71428573131561279</v>
      </c>
      <c r="C112" s="194">
        <v>0.78571426868438721</v>
      </c>
      <c r="D112" s="194">
        <v>28</v>
      </c>
      <c r="E112" s="194">
        <v>0.6538461446762085</v>
      </c>
      <c r="F112" s="194">
        <v>0.61904764175415039</v>
      </c>
      <c r="G112" s="194">
        <v>21</v>
      </c>
      <c r="H112" s="194">
        <v>0.63414633274078369</v>
      </c>
      <c r="I112" s="194">
        <v>0.5517241358757019</v>
      </c>
      <c r="J112" s="194">
        <v>29</v>
      </c>
      <c r="K112" s="194">
        <v>0.71428573131561279</v>
      </c>
      <c r="L112" s="194">
        <v>0.71875</v>
      </c>
      <c r="M112" s="194">
        <v>32</v>
      </c>
      <c r="N112" s="194">
        <v>0.73239433765411377</v>
      </c>
      <c r="O112" s="194">
        <v>1</v>
      </c>
      <c r="P112" s="194">
        <v>16</v>
      </c>
      <c r="Q112" s="194">
        <v>0.7818182110786438</v>
      </c>
      <c r="R112" s="194">
        <v>0.56521737575531006</v>
      </c>
      <c r="S112" s="194">
        <v>23</v>
      </c>
      <c r="T112" s="194">
        <v>0.71428573131561279</v>
      </c>
      <c r="U112" s="194">
        <v>0.875</v>
      </c>
      <c r="V112" s="194">
        <v>16</v>
      </c>
      <c r="W112" s="194">
        <v>0.64383560419082642</v>
      </c>
      <c r="X112" s="194">
        <v>0.75</v>
      </c>
      <c r="Y112" s="194">
        <v>24</v>
      </c>
      <c r="Z112" s="194">
        <v>0.53658539056777954</v>
      </c>
      <c r="AA112" s="194">
        <v>0.45454546809196472</v>
      </c>
      <c r="AB112" s="194">
        <v>33</v>
      </c>
      <c r="AC112" s="194">
        <v>0.4761904776096344</v>
      </c>
      <c r="AD112" s="194">
        <v>0.43999999761581421</v>
      </c>
      <c r="AE112" s="194">
        <v>25</v>
      </c>
      <c r="AF112" s="194">
        <v>0.50495052337646484</v>
      </c>
      <c r="AG112" s="194">
        <v>0.53846156597137451</v>
      </c>
      <c r="AH112" s="194">
        <v>26</v>
      </c>
      <c r="AI112" s="194">
        <v>0.52631580829620361</v>
      </c>
      <c r="AJ112" s="194">
        <v>0.51999998092651367</v>
      </c>
      <c r="AK112" s="194">
        <v>50</v>
      </c>
      <c r="AL112" s="140"/>
      <c r="AM112" s="140"/>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c r="BI112" s="140"/>
    </row>
    <row r="113" spans="1:61" x14ac:dyDescent="0.3">
      <c r="A113" s="193" t="s">
        <v>348</v>
      </c>
      <c r="B113" s="194">
        <v>0.6875</v>
      </c>
      <c r="C113" s="194">
        <v>0.75</v>
      </c>
      <c r="D113" s="194">
        <v>12</v>
      </c>
      <c r="E113" s="194">
        <v>0.76363635063171387</v>
      </c>
      <c r="F113" s="194">
        <v>0.64999997615814209</v>
      </c>
      <c r="G113" s="194">
        <v>20</v>
      </c>
      <c r="H113" s="194">
        <v>0.71875</v>
      </c>
      <c r="I113" s="194">
        <v>0.86956518888473511</v>
      </c>
      <c r="J113" s="194">
        <v>23</v>
      </c>
      <c r="K113" s="194">
        <v>0.73333334922790527</v>
      </c>
      <c r="L113" s="194">
        <v>0.61904764175415039</v>
      </c>
      <c r="M113" s="194">
        <v>21</v>
      </c>
      <c r="N113" s="194">
        <v>0.64583331346511841</v>
      </c>
      <c r="O113" s="194">
        <v>0.6875</v>
      </c>
      <c r="P113" s="194">
        <v>16</v>
      </c>
      <c r="Q113" s="194">
        <v>0.69999998807907104</v>
      </c>
      <c r="R113" s="194">
        <v>0.63636362552642822</v>
      </c>
      <c r="S113" s="194">
        <v>11</v>
      </c>
      <c r="T113" s="194">
        <v>0.70454543828964233</v>
      </c>
      <c r="U113" s="194">
        <v>0.76923078298568726</v>
      </c>
      <c r="V113" s="194">
        <v>13</v>
      </c>
      <c r="W113" s="194">
        <v>0.73684209585189819</v>
      </c>
      <c r="X113" s="194">
        <v>0.69999998807907104</v>
      </c>
      <c r="Y113" s="194">
        <v>20</v>
      </c>
      <c r="Z113" s="194">
        <v>0.76470589637756348</v>
      </c>
      <c r="AA113" s="194">
        <v>0.75</v>
      </c>
      <c r="AB113" s="194">
        <v>24</v>
      </c>
      <c r="AC113" s="194">
        <v>0.69642859697341919</v>
      </c>
      <c r="AD113" s="194">
        <v>1</v>
      </c>
      <c r="AE113" s="194">
        <v>7</v>
      </c>
      <c r="AF113" s="194">
        <v>0.62962961196899414</v>
      </c>
      <c r="AG113" s="194">
        <v>0.56000000238418579</v>
      </c>
      <c r="AH113" s="194">
        <v>25</v>
      </c>
      <c r="AI113" s="194">
        <v>0.57446807622909546</v>
      </c>
      <c r="AJ113" s="194">
        <v>0.59090906381607056</v>
      </c>
      <c r="AK113" s="194">
        <v>22</v>
      </c>
      <c r="AL113" s="140"/>
      <c r="AM113" s="140"/>
      <c r="AN113" s="140"/>
      <c r="AO113" s="140"/>
      <c r="AP113" s="140"/>
      <c r="AQ113" s="140"/>
      <c r="AR113" s="140"/>
      <c r="AS113" s="140"/>
      <c r="AT113" s="140"/>
      <c r="AU113" s="140"/>
      <c r="AV113" s="140"/>
      <c r="AW113" s="140"/>
      <c r="AX113" s="140"/>
      <c r="AY113" s="140"/>
      <c r="AZ113" s="140"/>
      <c r="BA113" s="140"/>
      <c r="BB113" s="140"/>
      <c r="BC113" s="140"/>
      <c r="BD113" s="140"/>
      <c r="BE113" s="140"/>
      <c r="BF113" s="140"/>
      <c r="BG113" s="140"/>
      <c r="BH113" s="140"/>
      <c r="BI113" s="140"/>
    </row>
    <row r="114" spans="1:61" x14ac:dyDescent="0.3">
      <c r="A114" s="193" t="s">
        <v>410</v>
      </c>
      <c r="B114" s="194">
        <v>0.6428571343421936</v>
      </c>
      <c r="C114" s="194">
        <v>0.6428571343421936</v>
      </c>
      <c r="D114" s="194">
        <v>28</v>
      </c>
      <c r="E114" s="194">
        <v>0.59302324056625366</v>
      </c>
      <c r="F114" s="194">
        <v>0.6428571343421936</v>
      </c>
      <c r="G114" s="194">
        <v>28</v>
      </c>
      <c r="H114" s="194">
        <v>0.57499998807907104</v>
      </c>
      <c r="I114" s="194">
        <v>0.5</v>
      </c>
      <c r="J114" s="194">
        <v>30</v>
      </c>
      <c r="K114" s="194">
        <v>0.55555558204650879</v>
      </c>
      <c r="L114" s="194">
        <v>0.59090906381607056</v>
      </c>
      <c r="M114" s="194">
        <v>22</v>
      </c>
      <c r="N114" s="194">
        <v>0.55555558204650879</v>
      </c>
      <c r="O114" s="194">
        <v>0.58620691299438477</v>
      </c>
      <c r="P114" s="194">
        <v>29</v>
      </c>
      <c r="Q114" s="194">
        <v>0.56521737575531006</v>
      </c>
      <c r="R114" s="194">
        <v>0.5</v>
      </c>
      <c r="S114" s="194">
        <v>30</v>
      </c>
      <c r="T114" s="194">
        <v>0.59493672847747803</v>
      </c>
      <c r="U114" s="194">
        <v>0.60606062412261963</v>
      </c>
      <c r="V114" s="194">
        <v>33</v>
      </c>
      <c r="W114" s="194">
        <v>0.63076925277709961</v>
      </c>
      <c r="X114" s="194">
        <v>0.75</v>
      </c>
      <c r="Y114" s="194">
        <v>16</v>
      </c>
      <c r="Z114" s="194">
        <v>0.609375</v>
      </c>
      <c r="AA114" s="194">
        <v>0.5625</v>
      </c>
      <c r="AB114" s="194">
        <v>16</v>
      </c>
      <c r="AC114" s="194">
        <v>0.65853661298751831</v>
      </c>
      <c r="AD114" s="194">
        <v>0.5625</v>
      </c>
      <c r="AE114" s="194">
        <v>32</v>
      </c>
      <c r="AF114" s="194">
        <v>0.61000001430511475</v>
      </c>
      <c r="AG114" s="194">
        <v>0.79411762952804565</v>
      </c>
      <c r="AH114" s="194">
        <v>34</v>
      </c>
      <c r="AI114" s="194">
        <v>0.63235294818878174</v>
      </c>
      <c r="AJ114" s="194">
        <v>0.47058823704719543</v>
      </c>
      <c r="AK114" s="194">
        <v>34</v>
      </c>
      <c r="AL114" s="140"/>
      <c r="AM114" s="140"/>
      <c r="AN114" s="140"/>
      <c r="AO114" s="140"/>
      <c r="AP114" s="140"/>
      <c r="AQ114" s="140"/>
      <c r="AR114" s="140"/>
      <c r="AS114" s="140"/>
      <c r="AT114" s="140"/>
      <c r="AU114" s="140"/>
      <c r="AV114" s="140"/>
      <c r="AW114" s="140"/>
      <c r="AX114" s="140"/>
      <c r="AY114" s="140"/>
      <c r="AZ114" s="140"/>
      <c r="BA114" s="140"/>
      <c r="BB114" s="140"/>
      <c r="BC114" s="140"/>
      <c r="BD114" s="140"/>
      <c r="BE114" s="140"/>
      <c r="BF114" s="140"/>
      <c r="BG114" s="140"/>
      <c r="BH114" s="140"/>
      <c r="BI114" s="140"/>
    </row>
    <row r="115" spans="1:61" x14ac:dyDescent="0.3">
      <c r="A115" s="193" t="s">
        <v>460</v>
      </c>
      <c r="B115" s="194">
        <v>0.51020407676696777</v>
      </c>
      <c r="C115" s="194">
        <v>0.72222220897674561</v>
      </c>
      <c r="D115" s="194">
        <v>18</v>
      </c>
      <c r="E115" s="194">
        <v>0.44155845046043396</v>
      </c>
      <c r="F115" s="194">
        <v>0.38709676265716553</v>
      </c>
      <c r="G115" s="194">
        <v>31</v>
      </c>
      <c r="H115" s="194">
        <v>0.3452380895614624</v>
      </c>
      <c r="I115" s="194">
        <v>0.3214285671710968</v>
      </c>
      <c r="J115" s="194">
        <v>28</v>
      </c>
      <c r="K115" s="194">
        <v>0.39473685622215271</v>
      </c>
      <c r="L115" s="194">
        <v>0.31999999284744263</v>
      </c>
      <c r="M115" s="194">
        <v>25</v>
      </c>
      <c r="N115" s="194">
        <v>0.46913579106330872</v>
      </c>
      <c r="O115" s="194">
        <v>0.56521737575531006</v>
      </c>
      <c r="P115" s="194">
        <v>23</v>
      </c>
      <c r="Q115" s="194">
        <v>0.57352942228317261</v>
      </c>
      <c r="R115" s="194">
        <v>0.5151515007019043</v>
      </c>
      <c r="S115" s="194">
        <v>33</v>
      </c>
      <c r="T115" s="194">
        <v>0.65573769807815552</v>
      </c>
      <c r="U115" s="194">
        <v>0.75</v>
      </c>
      <c r="V115" s="194">
        <v>12</v>
      </c>
      <c r="W115" s="194">
        <v>0.8095238208770752</v>
      </c>
      <c r="X115" s="194">
        <v>0.875</v>
      </c>
      <c r="Y115" s="194">
        <v>16</v>
      </c>
      <c r="Z115" s="194">
        <v>0.8125</v>
      </c>
      <c r="AA115" s="194">
        <v>0.78571426868438721</v>
      </c>
      <c r="AB115" s="194">
        <v>14</v>
      </c>
      <c r="AC115" s="194">
        <v>0.75510203838348389</v>
      </c>
      <c r="AD115" s="194">
        <v>0.77777779102325439</v>
      </c>
      <c r="AE115" s="194">
        <v>18</v>
      </c>
      <c r="AF115" s="194">
        <v>0.71929824352264404</v>
      </c>
      <c r="AG115" s="194">
        <v>0.70588237047195435</v>
      </c>
      <c r="AH115" s="194">
        <v>17</v>
      </c>
      <c r="AI115" s="194">
        <v>0.69230771064758301</v>
      </c>
      <c r="AJ115" s="194">
        <v>0.68181818723678589</v>
      </c>
      <c r="AK115" s="194">
        <v>22</v>
      </c>
      <c r="AL115" s="140"/>
      <c r="AM115" s="140"/>
      <c r="AN115" s="140"/>
      <c r="AO115" s="140"/>
      <c r="AP115" s="140"/>
      <c r="AQ115" s="140"/>
      <c r="AR115" s="140"/>
      <c r="AS115" s="140"/>
      <c r="AT115" s="140"/>
      <c r="AU115" s="140"/>
      <c r="AV115" s="140"/>
      <c r="AW115" s="140"/>
      <c r="AX115" s="140"/>
      <c r="AY115" s="140"/>
      <c r="AZ115" s="140"/>
      <c r="BA115" s="140"/>
      <c r="BB115" s="140"/>
      <c r="BC115" s="140"/>
      <c r="BD115" s="140"/>
      <c r="BE115" s="140"/>
      <c r="BF115" s="140"/>
      <c r="BG115" s="140"/>
      <c r="BH115" s="140"/>
      <c r="BI115" s="140"/>
    </row>
    <row r="116" spans="1:61" x14ac:dyDescent="0.3">
      <c r="A116" s="193" t="s">
        <v>288</v>
      </c>
      <c r="B116" s="194">
        <v>0.60000002384185791</v>
      </c>
      <c r="C116" s="194">
        <v>0.6111111044883728</v>
      </c>
      <c r="D116" s="194">
        <v>18</v>
      </c>
      <c r="E116" s="194">
        <v>0.62068963050842285</v>
      </c>
      <c r="F116" s="194">
        <v>0.58823531866073608</v>
      </c>
      <c r="G116" s="194">
        <v>17</v>
      </c>
      <c r="H116" s="194">
        <v>0.68965518474578857</v>
      </c>
      <c r="I116" s="194">
        <v>0.65217393636703491</v>
      </c>
      <c r="J116" s="194">
        <v>23</v>
      </c>
      <c r="K116" s="194">
        <v>0.80357140302658081</v>
      </c>
      <c r="L116" s="194">
        <v>0.83333331346511841</v>
      </c>
      <c r="M116" s="194">
        <v>18</v>
      </c>
      <c r="N116" s="194">
        <v>0.79166668653488159</v>
      </c>
      <c r="O116" s="194">
        <v>1</v>
      </c>
      <c r="P116" s="194">
        <v>15</v>
      </c>
      <c r="Q116" s="194">
        <v>0.6904761791229248</v>
      </c>
      <c r="R116" s="194">
        <v>0.53333336114883423</v>
      </c>
      <c r="S116" s="194">
        <v>15</v>
      </c>
      <c r="T116" s="194">
        <v>0.5476190447807312</v>
      </c>
      <c r="U116" s="194">
        <v>0.5</v>
      </c>
      <c r="V116" s="194">
        <v>12</v>
      </c>
      <c r="W116" s="194">
        <v>0.5476190447807312</v>
      </c>
      <c r="X116" s="194">
        <v>0.60000002384185791</v>
      </c>
      <c r="Y116" s="194">
        <v>15</v>
      </c>
      <c r="Z116" s="194">
        <v>0.60000002384185791</v>
      </c>
      <c r="AA116" s="194">
        <v>0.53333336114883423</v>
      </c>
      <c r="AB116" s="194">
        <v>15</v>
      </c>
      <c r="AC116" s="194">
        <v>0.59375</v>
      </c>
      <c r="AD116" s="194">
        <v>0.69999998807907104</v>
      </c>
      <c r="AE116" s="194">
        <v>10</v>
      </c>
      <c r="AF116" s="194">
        <v>0.69999998807907104</v>
      </c>
      <c r="AG116" s="194">
        <v>0.57142859697341919</v>
      </c>
      <c r="AH116" s="194">
        <v>7</v>
      </c>
      <c r="AI116" s="194">
        <v>0.69999998807907104</v>
      </c>
      <c r="AJ116" s="194">
        <v>0.76923078298568726</v>
      </c>
      <c r="AK116" s="194">
        <v>13</v>
      </c>
      <c r="AL116" s="140"/>
      <c r="AM116" s="140"/>
      <c r="AN116" s="140"/>
      <c r="AO116" s="140"/>
      <c r="AP116" s="140"/>
      <c r="AQ116" s="140"/>
      <c r="AR116" s="140"/>
      <c r="AS116" s="140"/>
      <c r="AT116" s="140"/>
      <c r="AU116" s="140"/>
      <c r="AV116" s="140"/>
      <c r="AW116" s="140"/>
      <c r="AX116" s="140"/>
      <c r="AY116" s="140"/>
      <c r="AZ116" s="140"/>
      <c r="BA116" s="140"/>
      <c r="BB116" s="140"/>
      <c r="BC116" s="140"/>
      <c r="BD116" s="140"/>
      <c r="BE116" s="140"/>
      <c r="BF116" s="140"/>
      <c r="BG116" s="140"/>
      <c r="BH116" s="140"/>
      <c r="BI116" s="140"/>
    </row>
    <row r="117" spans="1:61" x14ac:dyDescent="0.3">
      <c r="A117" s="193" t="s">
        <v>388</v>
      </c>
      <c r="B117" s="194">
        <v>1</v>
      </c>
      <c r="C117" s="194">
        <v>1</v>
      </c>
      <c r="D117" s="194">
        <v>13</v>
      </c>
      <c r="E117" s="194">
        <v>1</v>
      </c>
      <c r="F117" s="194">
        <v>1</v>
      </c>
      <c r="G117" s="194">
        <v>14</v>
      </c>
      <c r="H117" s="194">
        <v>0.92105263471603394</v>
      </c>
      <c r="I117" s="194">
        <v>1</v>
      </c>
      <c r="J117" s="194">
        <v>12</v>
      </c>
      <c r="K117" s="194">
        <v>0.89655172824859619</v>
      </c>
      <c r="L117" s="194">
        <v>0.75</v>
      </c>
      <c r="M117" s="194">
        <v>12</v>
      </c>
      <c r="N117" s="194">
        <v>0.83333331346511841</v>
      </c>
      <c r="O117" s="194">
        <v>1</v>
      </c>
      <c r="P117" s="194">
        <v>5</v>
      </c>
      <c r="Q117" s="194">
        <v>0.85000002384185791</v>
      </c>
      <c r="R117" s="194">
        <v>0.8571428656578064</v>
      </c>
      <c r="S117" s="194">
        <v>7</v>
      </c>
      <c r="T117" s="194">
        <v>0.72727274894714355</v>
      </c>
      <c r="U117" s="194">
        <v>0.75</v>
      </c>
      <c r="V117" s="194">
        <v>8</v>
      </c>
      <c r="W117" s="194">
        <v>0.74468082189559937</v>
      </c>
      <c r="X117" s="194">
        <v>0.66666668653488159</v>
      </c>
      <c r="Y117" s="194">
        <v>18</v>
      </c>
      <c r="Z117" s="194">
        <v>0.7361111044883728</v>
      </c>
      <c r="AA117" s="194">
        <v>0.8095238208770752</v>
      </c>
      <c r="AB117" s="194">
        <v>21</v>
      </c>
      <c r="AC117" s="194">
        <v>0.72500002384185791</v>
      </c>
      <c r="AD117" s="194">
        <v>0.72727274894714355</v>
      </c>
      <c r="AE117" s="194">
        <v>33</v>
      </c>
      <c r="AF117" s="194">
        <v>0.71428573131561279</v>
      </c>
      <c r="AG117" s="194">
        <v>0.6538461446762085</v>
      </c>
      <c r="AH117" s="194">
        <v>26</v>
      </c>
      <c r="AI117" s="194">
        <v>0.70454543828964233</v>
      </c>
      <c r="AJ117" s="194">
        <v>0.77777779102325439</v>
      </c>
      <c r="AK117" s="194">
        <v>18</v>
      </c>
      <c r="AL117" s="140"/>
      <c r="AM117" s="140"/>
      <c r="AN117" s="140"/>
      <c r="AO117" s="140"/>
      <c r="AP117" s="140"/>
      <c r="AQ117" s="140"/>
      <c r="AR117" s="140"/>
      <c r="AS117" s="140"/>
      <c r="AT117" s="140"/>
      <c r="AU117" s="140"/>
      <c r="AV117" s="140"/>
      <c r="AW117" s="140"/>
      <c r="AX117" s="140"/>
      <c r="AY117" s="140"/>
      <c r="AZ117" s="140"/>
      <c r="BA117" s="140"/>
      <c r="BB117" s="140"/>
      <c r="BC117" s="140"/>
      <c r="BD117" s="140"/>
      <c r="BE117" s="140"/>
      <c r="BF117" s="140"/>
      <c r="BG117" s="140"/>
      <c r="BH117" s="140"/>
      <c r="BI117" s="140"/>
    </row>
    <row r="118" spans="1:61" x14ac:dyDescent="0.3">
      <c r="A118" s="193" t="s">
        <v>322</v>
      </c>
      <c r="B118" s="194">
        <v>0.45454546809196472</v>
      </c>
      <c r="C118" s="194">
        <v>0.3333333432674408</v>
      </c>
      <c r="D118" s="194">
        <v>3</v>
      </c>
      <c r="E118" s="194">
        <v>0.4285714328289032</v>
      </c>
      <c r="F118" s="194">
        <v>0.5</v>
      </c>
      <c r="G118" s="194">
        <v>8</v>
      </c>
      <c r="H118" s="194">
        <v>0.42105263471603394</v>
      </c>
      <c r="I118" s="194">
        <v>0.3333333432674408</v>
      </c>
      <c r="J118" s="194">
        <v>3</v>
      </c>
      <c r="K118" s="194">
        <v>0.46666666865348816</v>
      </c>
      <c r="L118" s="194">
        <v>0.375</v>
      </c>
      <c r="M118" s="194">
        <v>8</v>
      </c>
      <c r="N118" s="194">
        <v>0.55555558204650879</v>
      </c>
      <c r="O118" s="194">
        <v>0.75</v>
      </c>
      <c r="P118" s="194">
        <v>4</v>
      </c>
      <c r="Q118" s="194">
        <v>0.76923078298568726</v>
      </c>
      <c r="R118" s="194">
        <v>0.66666668653488159</v>
      </c>
      <c r="S118" s="194">
        <v>6</v>
      </c>
      <c r="T118" s="194">
        <v>0.8125</v>
      </c>
      <c r="U118" s="194">
        <v>1</v>
      </c>
      <c r="V118" s="194">
        <v>3</v>
      </c>
      <c r="W118" s="194">
        <v>0.8125</v>
      </c>
      <c r="X118" s="194">
        <v>0.8571428656578064</v>
      </c>
      <c r="Y118" s="194">
        <v>7</v>
      </c>
      <c r="Z118" s="194">
        <v>0.76470589637756348</v>
      </c>
      <c r="AA118" s="194">
        <v>0.66666668653488159</v>
      </c>
      <c r="AB118" s="194">
        <v>6</v>
      </c>
      <c r="AC118" s="194">
        <v>0.75757575035095215</v>
      </c>
      <c r="AD118" s="194">
        <v>0.75</v>
      </c>
      <c r="AE118" s="194">
        <v>4</v>
      </c>
      <c r="AF118" s="194">
        <v>0.73684209585189819</v>
      </c>
      <c r="AG118" s="194">
        <v>0.78260868787765503</v>
      </c>
      <c r="AH118" s="194">
        <v>23</v>
      </c>
      <c r="AI118" s="194">
        <v>0.73529410362243652</v>
      </c>
      <c r="AJ118" s="194">
        <v>0.63636362552642822</v>
      </c>
      <c r="AK118" s="194">
        <v>11</v>
      </c>
      <c r="AL118" s="140"/>
      <c r="AM118" s="140"/>
      <c r="AN118" s="140"/>
      <c r="AO118" s="140"/>
      <c r="AP118" s="140"/>
      <c r="AQ118" s="140"/>
      <c r="AR118" s="140"/>
      <c r="AS118" s="140"/>
      <c r="AT118" s="140"/>
      <c r="AU118" s="140"/>
      <c r="AV118" s="140"/>
      <c r="AW118" s="140"/>
      <c r="AX118" s="140"/>
      <c r="AY118" s="140"/>
      <c r="AZ118" s="140"/>
      <c r="BA118" s="140"/>
      <c r="BB118" s="140"/>
      <c r="BC118" s="140"/>
      <c r="BD118" s="140"/>
      <c r="BE118" s="140"/>
      <c r="BF118" s="140"/>
      <c r="BG118" s="140"/>
      <c r="BH118" s="140"/>
      <c r="BI118" s="140"/>
    </row>
    <row r="119" spans="1:61" x14ac:dyDescent="0.3">
      <c r="A119" s="193" t="s">
        <v>299</v>
      </c>
      <c r="B119" s="194">
        <v>0.58064514398574829</v>
      </c>
      <c r="C119" s="194">
        <v>0.5</v>
      </c>
      <c r="D119" s="194">
        <v>20</v>
      </c>
      <c r="E119" s="194">
        <v>0.64583331346511841</v>
      </c>
      <c r="F119" s="194">
        <v>0.72727274894714355</v>
      </c>
      <c r="G119" s="194">
        <v>11</v>
      </c>
      <c r="H119" s="194">
        <v>0.75675678253173828</v>
      </c>
      <c r="I119" s="194">
        <v>0.76470589637756348</v>
      </c>
      <c r="J119" s="194">
        <v>17</v>
      </c>
      <c r="K119" s="194">
        <v>0.69696968793869019</v>
      </c>
      <c r="L119" s="194">
        <v>0.77777779102325439</v>
      </c>
      <c r="M119" s="194">
        <v>9</v>
      </c>
      <c r="N119" s="194">
        <v>0.67857140302658081</v>
      </c>
      <c r="O119" s="194">
        <v>0.4285714328289032</v>
      </c>
      <c r="P119" s="194">
        <v>7</v>
      </c>
      <c r="Q119" s="194">
        <v>0.58620691299438477</v>
      </c>
      <c r="R119" s="194">
        <v>0.75</v>
      </c>
      <c r="S119" s="194">
        <v>12</v>
      </c>
      <c r="T119" s="194">
        <v>0.59375</v>
      </c>
      <c r="U119" s="194">
        <v>0.5</v>
      </c>
      <c r="V119" s="194">
        <v>10</v>
      </c>
      <c r="W119" s="194">
        <v>0.5</v>
      </c>
      <c r="X119" s="194">
        <v>0.5</v>
      </c>
      <c r="Y119" s="194">
        <v>10</v>
      </c>
      <c r="Z119" s="194">
        <v>0.5517241358757019</v>
      </c>
      <c r="AA119" s="194">
        <v>0.5</v>
      </c>
      <c r="AB119" s="194">
        <v>10</v>
      </c>
      <c r="AC119" s="194">
        <v>0.66666668653488159</v>
      </c>
      <c r="AD119" s="194">
        <v>0.66666668653488159</v>
      </c>
      <c r="AE119" s="194">
        <v>9</v>
      </c>
      <c r="AF119" s="194">
        <v>0.74074071645736694</v>
      </c>
      <c r="AG119" s="194">
        <v>1</v>
      </c>
      <c r="AH119" s="194">
        <v>5</v>
      </c>
      <c r="AI119" s="194">
        <v>0.77777779102325439</v>
      </c>
      <c r="AJ119" s="194">
        <v>0.69230771064758301</v>
      </c>
      <c r="AK119" s="194">
        <v>13</v>
      </c>
      <c r="AL119" s="140"/>
      <c r="AM119" s="140"/>
      <c r="AN119" s="140"/>
      <c r="AO119" s="140"/>
      <c r="AP119" s="140"/>
      <c r="AQ119" s="140"/>
      <c r="AR119" s="140"/>
      <c r="AS119" s="140"/>
      <c r="AT119" s="140"/>
      <c r="AU119" s="140"/>
      <c r="AV119" s="140"/>
      <c r="AW119" s="140"/>
      <c r="AX119" s="140"/>
      <c r="AY119" s="140"/>
      <c r="AZ119" s="140"/>
      <c r="BA119" s="140"/>
      <c r="BB119" s="140"/>
      <c r="BC119" s="140"/>
      <c r="BD119" s="140"/>
      <c r="BE119" s="140"/>
      <c r="BF119" s="140"/>
      <c r="BG119" s="140"/>
      <c r="BH119" s="140"/>
      <c r="BI119" s="140"/>
    </row>
    <row r="120" spans="1:61" x14ac:dyDescent="0.3">
      <c r="A120" s="193" t="s">
        <v>343</v>
      </c>
      <c r="B120" s="194">
        <v>0.71212118864059448</v>
      </c>
      <c r="C120" s="194">
        <v>0.75757575035095215</v>
      </c>
      <c r="D120" s="194">
        <v>33</v>
      </c>
      <c r="E120" s="194">
        <v>0.71134018898010254</v>
      </c>
      <c r="F120" s="194">
        <v>0.66666668653488159</v>
      </c>
      <c r="G120" s="194">
        <v>33</v>
      </c>
      <c r="H120" s="194">
        <v>0.7023809552192688</v>
      </c>
      <c r="I120" s="194">
        <v>0.70967739820480347</v>
      </c>
      <c r="J120" s="194">
        <v>31</v>
      </c>
      <c r="K120" s="194">
        <v>0.73846155405044556</v>
      </c>
      <c r="L120" s="194">
        <v>0.75</v>
      </c>
      <c r="M120" s="194">
        <v>20</v>
      </c>
      <c r="N120" s="194">
        <v>0.83333331346511841</v>
      </c>
      <c r="O120" s="194">
        <v>0.78571426868438721</v>
      </c>
      <c r="P120" s="194">
        <v>14</v>
      </c>
      <c r="Q120" s="194">
        <v>0.88679248094558716</v>
      </c>
      <c r="R120" s="194">
        <v>0.94999998807907104</v>
      </c>
      <c r="S120" s="194">
        <v>20</v>
      </c>
      <c r="T120" s="194">
        <v>0.86842107772827148</v>
      </c>
      <c r="U120" s="194">
        <v>0.89473682641983032</v>
      </c>
      <c r="V120" s="194">
        <v>19</v>
      </c>
      <c r="W120" s="194">
        <v>0.81052631139755249</v>
      </c>
      <c r="X120" s="194">
        <v>0.81081080436706543</v>
      </c>
      <c r="Y120" s="194">
        <v>37</v>
      </c>
      <c r="Z120" s="194">
        <v>0.75229358673095703</v>
      </c>
      <c r="AA120" s="194">
        <v>0.76923078298568726</v>
      </c>
      <c r="AB120" s="194">
        <v>39</v>
      </c>
      <c r="AC120" s="194">
        <v>0.64655172824859619</v>
      </c>
      <c r="AD120" s="194">
        <v>0.66666668653488159</v>
      </c>
      <c r="AE120" s="194">
        <v>33</v>
      </c>
      <c r="AF120" s="194">
        <v>0.68468469381332397</v>
      </c>
      <c r="AG120" s="194">
        <v>0.52272725105285645</v>
      </c>
      <c r="AH120" s="194">
        <v>44</v>
      </c>
      <c r="AI120" s="194">
        <v>0.69230771064758301</v>
      </c>
      <c r="AJ120" s="194">
        <v>0.91176468133926392</v>
      </c>
      <c r="AK120" s="194">
        <v>34</v>
      </c>
      <c r="AL120" s="140"/>
      <c r="AM120" s="140"/>
      <c r="AN120" s="140"/>
      <c r="AO120" s="140"/>
      <c r="AP120" s="140"/>
      <c r="AQ120" s="140"/>
      <c r="AR120" s="140"/>
      <c r="AS120" s="140"/>
      <c r="AT120" s="140"/>
      <c r="AU120" s="140"/>
      <c r="AV120" s="140"/>
      <c r="AW120" s="140"/>
      <c r="AX120" s="140"/>
      <c r="AY120" s="140"/>
      <c r="AZ120" s="140"/>
      <c r="BA120" s="140"/>
      <c r="BB120" s="140"/>
      <c r="BC120" s="140"/>
      <c r="BD120" s="140"/>
      <c r="BE120" s="140"/>
      <c r="BF120" s="140"/>
      <c r="BG120" s="140"/>
      <c r="BH120" s="140"/>
      <c r="BI120" s="140"/>
    </row>
    <row r="121" spans="1:61" x14ac:dyDescent="0.3">
      <c r="A121" s="193" t="s">
        <v>466</v>
      </c>
      <c r="B121" s="194">
        <v>0.63636362552642822</v>
      </c>
      <c r="C121" s="194">
        <v>0.58823531866073608</v>
      </c>
      <c r="D121" s="194">
        <v>17</v>
      </c>
      <c r="E121" s="194">
        <v>0.62711864709854126</v>
      </c>
      <c r="F121" s="194">
        <v>0.6875</v>
      </c>
      <c r="G121" s="194">
        <v>16</v>
      </c>
      <c r="H121" s="194">
        <v>0.58620691299438477</v>
      </c>
      <c r="I121" s="194">
        <v>0.61538463830947876</v>
      </c>
      <c r="J121" s="194">
        <v>26</v>
      </c>
      <c r="K121" s="194">
        <v>0.53731346130371094</v>
      </c>
      <c r="L121" s="194">
        <v>0.4375</v>
      </c>
      <c r="M121" s="194">
        <v>16</v>
      </c>
      <c r="N121" s="194">
        <v>0.53424656391143799</v>
      </c>
      <c r="O121" s="194">
        <v>0.51999998092651367</v>
      </c>
      <c r="P121" s="194">
        <v>25</v>
      </c>
      <c r="Q121" s="194">
        <v>0.56962025165557861</v>
      </c>
      <c r="R121" s="194">
        <v>0.59375</v>
      </c>
      <c r="S121" s="194">
        <v>32</v>
      </c>
      <c r="T121" s="194">
        <v>0.56756758689880371</v>
      </c>
      <c r="U121" s="194">
        <v>0.59090906381607056</v>
      </c>
      <c r="V121" s="194">
        <v>22</v>
      </c>
      <c r="W121" s="194">
        <v>0.64615386724472046</v>
      </c>
      <c r="X121" s="194">
        <v>0.5</v>
      </c>
      <c r="Y121" s="194">
        <v>20</v>
      </c>
      <c r="Z121" s="194">
        <v>0.60000002384185791</v>
      </c>
      <c r="AA121" s="194">
        <v>0.82608693838119507</v>
      </c>
      <c r="AB121" s="194">
        <v>23</v>
      </c>
      <c r="AC121" s="194">
        <v>0.56140351295471191</v>
      </c>
      <c r="AD121" s="194">
        <v>0.4117647111415863</v>
      </c>
      <c r="AE121" s="194">
        <v>17</v>
      </c>
      <c r="AF121" s="194">
        <v>0.42028984427452087</v>
      </c>
      <c r="AG121" s="194">
        <v>0.35294118523597717</v>
      </c>
      <c r="AH121" s="194">
        <v>17</v>
      </c>
      <c r="AI121" s="194">
        <v>0.42307692766189575</v>
      </c>
      <c r="AJ121" s="194">
        <v>0.45714285969734192</v>
      </c>
      <c r="AK121" s="194">
        <v>35</v>
      </c>
      <c r="AL121" s="140"/>
      <c r="AM121" s="140"/>
      <c r="AN121" s="140"/>
      <c r="AO121" s="140"/>
      <c r="AP121" s="140"/>
      <c r="AQ121" s="140"/>
      <c r="AR121" s="140"/>
      <c r="AS121" s="140"/>
      <c r="AT121" s="140"/>
      <c r="AU121" s="140"/>
      <c r="AV121" s="140"/>
      <c r="AW121" s="140"/>
      <c r="AX121" s="140"/>
      <c r="AY121" s="140"/>
      <c r="AZ121" s="140"/>
      <c r="BA121" s="140"/>
      <c r="BB121" s="140"/>
      <c r="BC121" s="140"/>
      <c r="BD121" s="140"/>
      <c r="BE121" s="140"/>
      <c r="BF121" s="140"/>
      <c r="BG121" s="140"/>
      <c r="BH121" s="140"/>
      <c r="BI121" s="140"/>
    </row>
    <row r="122" spans="1:61" x14ac:dyDescent="0.3">
      <c r="A122" s="193" t="s">
        <v>376</v>
      </c>
      <c r="B122" s="194">
        <v>0.36170211434364319</v>
      </c>
      <c r="C122" s="194">
        <v>0.37037035822868347</v>
      </c>
      <c r="D122" s="194">
        <v>27</v>
      </c>
      <c r="E122" s="194">
        <v>0.32352942228317261</v>
      </c>
      <c r="F122" s="194">
        <v>0.34999999403953552</v>
      </c>
      <c r="G122" s="194">
        <v>20</v>
      </c>
      <c r="H122" s="194">
        <v>0.39726027846336365</v>
      </c>
      <c r="I122" s="194">
        <v>0.2380952388048172</v>
      </c>
      <c r="J122" s="194">
        <v>21</v>
      </c>
      <c r="K122" s="194">
        <v>0.46153846383094788</v>
      </c>
      <c r="L122" s="194">
        <v>0.53125</v>
      </c>
      <c r="M122" s="194">
        <v>32</v>
      </c>
      <c r="N122" s="194">
        <v>0.53488373756408691</v>
      </c>
      <c r="O122" s="194">
        <v>0.56000000238418579</v>
      </c>
      <c r="P122" s="194">
        <v>25</v>
      </c>
      <c r="Q122" s="194">
        <v>0.43434342741966248</v>
      </c>
      <c r="R122" s="194">
        <v>0.51724135875701904</v>
      </c>
      <c r="S122" s="194">
        <v>29</v>
      </c>
      <c r="T122" s="194">
        <v>0.41600000858306885</v>
      </c>
      <c r="U122" s="194">
        <v>0.31111112236976624</v>
      </c>
      <c r="V122" s="194">
        <v>45</v>
      </c>
      <c r="W122" s="194">
        <v>0.42176869511604309</v>
      </c>
      <c r="X122" s="194">
        <v>0.45098039507865906</v>
      </c>
      <c r="Y122" s="194">
        <v>51</v>
      </c>
      <c r="Z122" s="194">
        <v>0.45522388815879822</v>
      </c>
      <c r="AA122" s="194">
        <v>0.49019607901573181</v>
      </c>
      <c r="AB122" s="194">
        <v>51</v>
      </c>
      <c r="AC122" s="194">
        <v>0.40350878238677979</v>
      </c>
      <c r="AD122" s="194">
        <v>0.40625</v>
      </c>
      <c r="AE122" s="194">
        <v>32</v>
      </c>
      <c r="AF122" s="194">
        <v>0.30476191639900208</v>
      </c>
      <c r="AG122" s="194">
        <v>0.25806450843811035</v>
      </c>
      <c r="AH122" s="194">
        <v>31</v>
      </c>
      <c r="AI122" s="194">
        <v>0.26027396321296692</v>
      </c>
      <c r="AJ122" s="194">
        <v>0.26190477609634399</v>
      </c>
      <c r="AK122" s="194">
        <v>42</v>
      </c>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row>
    <row r="123" spans="1:61" x14ac:dyDescent="0.3">
      <c r="A123" s="193" t="s">
        <v>534</v>
      </c>
      <c r="B123" s="194">
        <v>0.29347825050354004</v>
      </c>
      <c r="C123" s="194">
        <v>0.21739129722118378</v>
      </c>
      <c r="D123" s="194">
        <v>46</v>
      </c>
      <c r="E123" s="194">
        <v>0.31111112236976624</v>
      </c>
      <c r="F123" s="194">
        <v>0.3695652186870575</v>
      </c>
      <c r="G123" s="194">
        <v>46</v>
      </c>
      <c r="H123" s="194">
        <v>0.34821429848670959</v>
      </c>
      <c r="I123" s="194">
        <v>0.34883719682693481</v>
      </c>
      <c r="J123" s="194">
        <v>43</v>
      </c>
      <c r="K123" s="194">
        <v>0.39823007583618164</v>
      </c>
      <c r="L123" s="194">
        <v>0.30434781312942505</v>
      </c>
      <c r="M123" s="194">
        <v>23</v>
      </c>
      <c r="N123" s="194">
        <v>0.35897436738014221</v>
      </c>
      <c r="O123" s="194">
        <v>0.48936170339584351</v>
      </c>
      <c r="P123" s="194">
        <v>47</v>
      </c>
      <c r="Q123" s="194">
        <v>0.35810810327529907</v>
      </c>
      <c r="R123" s="194">
        <v>0.25531914830207825</v>
      </c>
      <c r="S123" s="194">
        <v>47</v>
      </c>
      <c r="T123" s="194">
        <v>0.28767123818397522</v>
      </c>
      <c r="U123" s="194">
        <v>0.3333333432674408</v>
      </c>
      <c r="V123" s="194">
        <v>54</v>
      </c>
      <c r="W123" s="194">
        <v>0.33587786555290222</v>
      </c>
      <c r="X123" s="194">
        <v>0.26666668057441711</v>
      </c>
      <c r="Y123" s="194">
        <v>45</v>
      </c>
      <c r="Z123" s="194">
        <v>0.35199999809265137</v>
      </c>
      <c r="AA123" s="194">
        <v>0.4375</v>
      </c>
      <c r="AB123" s="194">
        <v>32</v>
      </c>
      <c r="AC123" s="194">
        <v>0.42307692766189575</v>
      </c>
      <c r="AD123" s="194">
        <v>0.375</v>
      </c>
      <c r="AE123" s="194">
        <v>48</v>
      </c>
      <c r="AF123" s="194">
        <v>0.46715328097343445</v>
      </c>
      <c r="AG123" s="194">
        <v>0.46000000834465027</v>
      </c>
      <c r="AH123" s="194">
        <v>50</v>
      </c>
      <c r="AI123" s="194">
        <v>0.516853928565979</v>
      </c>
      <c r="AJ123" s="194">
        <v>0.58974361419677734</v>
      </c>
      <c r="AK123" s="194">
        <v>39</v>
      </c>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row>
    <row r="124" spans="1:61" x14ac:dyDescent="0.3">
      <c r="A124" s="193"/>
      <c r="B124" s="194"/>
      <c r="C124" s="194"/>
      <c r="D124" s="194"/>
      <c r="E124" s="194"/>
      <c r="F124" s="194"/>
      <c r="G124" s="194"/>
      <c r="H124" s="194"/>
      <c r="I124" s="194"/>
      <c r="J124" s="194"/>
      <c r="K124" s="194"/>
      <c r="L124" s="194"/>
      <c r="M124" s="194"/>
      <c r="N124" s="194"/>
      <c r="O124" s="194"/>
      <c r="P124" s="194"/>
      <c r="Q124" s="194"/>
      <c r="R124" s="194"/>
      <c r="S124" s="194"/>
      <c r="T124" s="194"/>
      <c r="U124" s="194"/>
      <c r="V124" s="194"/>
      <c r="W124" s="194"/>
      <c r="X124" s="194"/>
      <c r="Y124" s="194"/>
      <c r="Z124" s="194"/>
      <c r="AA124" s="194"/>
      <c r="AB124" s="194"/>
      <c r="AC124" s="194"/>
      <c r="AD124" s="194"/>
      <c r="AE124" s="194"/>
      <c r="AF124" s="194"/>
      <c r="AG124" s="194"/>
      <c r="AH124" s="194"/>
      <c r="AI124" s="194"/>
      <c r="AJ124" s="194"/>
      <c r="AK124" s="194"/>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A065C-1147-4A5C-9C8D-A97E0E419FA8}">
  <sheetPr>
    <tabColor theme="9" tint="0.79998168889431442"/>
  </sheetPr>
  <dimension ref="A1:BI124"/>
  <sheetViews>
    <sheetView zoomScaleNormal="100" workbookViewId="0">
      <pane xSplit="1" ySplit="1" topLeftCell="B50" activePane="bottomRight" state="frozen"/>
      <selection pane="topRight" activeCell="B1" sqref="B1"/>
      <selection pane="bottomLeft" activeCell="A2" sqref="A2"/>
      <selection pane="bottomRight" activeCell="A57" sqref="A57:XFD57"/>
    </sheetView>
  </sheetViews>
  <sheetFormatPr defaultRowHeight="14.4" x14ac:dyDescent="0.3"/>
  <cols>
    <col min="2" max="5" width="8.6640625" style="120"/>
    <col min="10" max="10" width="11.44140625" customWidth="1"/>
    <col min="13" max="13" width="10.5546875" customWidth="1"/>
    <col min="16" max="16" width="10.6640625" customWidth="1"/>
    <col min="19" max="19" width="11.5546875" customWidth="1"/>
    <col min="22" max="22" width="11" customWidth="1"/>
    <col min="25" max="25" width="10.6640625" customWidth="1"/>
    <col min="28" max="28" width="11.88671875" customWidth="1"/>
    <col min="31" max="31" width="11.5546875" customWidth="1"/>
    <col min="34" max="34" width="11.109375" customWidth="1"/>
    <col min="37" max="37" width="11" customWidth="1"/>
  </cols>
  <sheetData>
    <row r="1" spans="1:61" x14ac:dyDescent="0.3">
      <c r="A1" s="193" t="s">
        <v>259</v>
      </c>
      <c r="B1" s="193" t="s">
        <v>138</v>
      </c>
      <c r="C1" s="193" t="s">
        <v>125</v>
      </c>
      <c r="D1" s="193" t="s">
        <v>112</v>
      </c>
      <c r="E1" s="193" t="s">
        <v>139</v>
      </c>
      <c r="F1" s="193" t="s">
        <v>126</v>
      </c>
      <c r="G1" s="193" t="s">
        <v>113</v>
      </c>
      <c r="H1" s="193" t="s">
        <v>140</v>
      </c>
      <c r="I1" s="193" t="s">
        <v>127</v>
      </c>
      <c r="J1" s="193" t="s">
        <v>114</v>
      </c>
      <c r="K1" s="193" t="s">
        <v>141</v>
      </c>
      <c r="L1" s="193" t="s">
        <v>128</v>
      </c>
      <c r="M1" s="193" t="s">
        <v>115</v>
      </c>
      <c r="N1" s="193" t="s">
        <v>142</v>
      </c>
      <c r="O1" s="193" t="s">
        <v>129</v>
      </c>
      <c r="P1" s="193" t="s">
        <v>116</v>
      </c>
      <c r="Q1" s="193" t="s">
        <v>143</v>
      </c>
      <c r="R1" s="193" t="s">
        <v>130</v>
      </c>
      <c r="S1" s="193" t="s">
        <v>117</v>
      </c>
      <c r="T1" s="193" t="s">
        <v>144</v>
      </c>
      <c r="U1" s="193" t="s">
        <v>131</v>
      </c>
      <c r="V1" s="193" t="s">
        <v>118</v>
      </c>
      <c r="W1" s="193" t="s">
        <v>145</v>
      </c>
      <c r="X1" s="193" t="s">
        <v>132</v>
      </c>
      <c r="Y1" s="193" t="s">
        <v>119</v>
      </c>
      <c r="Z1" s="193" t="s">
        <v>146</v>
      </c>
      <c r="AA1" s="193" t="s">
        <v>133</v>
      </c>
      <c r="AB1" s="193" t="s">
        <v>120</v>
      </c>
      <c r="AC1" s="193" t="s">
        <v>147</v>
      </c>
      <c r="AD1" s="193" t="s">
        <v>134</v>
      </c>
      <c r="AE1" s="193" t="s">
        <v>121</v>
      </c>
      <c r="AF1" s="193" t="s">
        <v>148</v>
      </c>
      <c r="AG1" s="193" t="s">
        <v>135</v>
      </c>
      <c r="AH1" s="193" t="s">
        <v>122</v>
      </c>
      <c r="AI1" s="193" t="s">
        <v>149</v>
      </c>
      <c r="AJ1" s="193" t="s">
        <v>136</v>
      </c>
      <c r="AK1" s="193" t="s">
        <v>123</v>
      </c>
      <c r="AL1" s="55"/>
      <c r="AM1" s="55"/>
      <c r="AN1" s="55"/>
      <c r="AO1" s="55"/>
      <c r="AP1" s="55"/>
      <c r="AQ1" s="55"/>
      <c r="AR1" s="55"/>
      <c r="AS1" s="55"/>
      <c r="AT1" s="55"/>
      <c r="AU1" s="55"/>
      <c r="AV1" s="55"/>
      <c r="AW1" s="55"/>
      <c r="AX1" s="55"/>
      <c r="AY1" s="55"/>
      <c r="AZ1" s="55"/>
      <c r="BA1" s="55"/>
      <c r="BB1" s="55"/>
      <c r="BC1" s="55"/>
      <c r="BD1" s="55"/>
      <c r="BE1" s="55"/>
      <c r="BF1" s="55"/>
      <c r="BG1" s="55"/>
      <c r="BH1" s="55"/>
      <c r="BI1" s="55"/>
    </row>
    <row r="2" spans="1:61" x14ac:dyDescent="0.3">
      <c r="A2" s="193" t="s">
        <v>685</v>
      </c>
      <c r="B2" s="194">
        <v>0.96499999999999997</v>
      </c>
      <c r="C2" s="194">
        <v>0.96399999999999997</v>
      </c>
      <c r="D2" s="194">
        <v>2237</v>
      </c>
      <c r="E2" s="194">
        <v>0.96199999999999997</v>
      </c>
      <c r="F2" s="194">
        <v>0.96499999999999997</v>
      </c>
      <c r="G2" s="194">
        <v>2199</v>
      </c>
      <c r="H2" s="194">
        <v>0.95499999999999996</v>
      </c>
      <c r="I2" s="194">
        <v>0.95599999999999996</v>
      </c>
      <c r="J2" s="194">
        <v>2269</v>
      </c>
      <c r="K2" s="194">
        <v>0.94299999999999995</v>
      </c>
      <c r="L2" s="194">
        <v>0.94399999999999995</v>
      </c>
      <c r="M2" s="194">
        <v>2122</v>
      </c>
      <c r="N2" s="194">
        <v>0.93300000000000005</v>
      </c>
      <c r="O2" s="194">
        <v>0.92800000000000005</v>
      </c>
      <c r="P2" s="194">
        <v>2097</v>
      </c>
      <c r="Q2" s="194">
        <v>0.92700000000000005</v>
      </c>
      <c r="R2" s="194">
        <v>0.92900000000000005</v>
      </c>
      <c r="S2" s="194">
        <v>2239</v>
      </c>
      <c r="T2" s="194">
        <v>0.92400000000000004</v>
      </c>
      <c r="U2" s="194">
        <v>0.92400000000000004</v>
      </c>
      <c r="V2" s="194">
        <v>2172</v>
      </c>
      <c r="W2" s="194">
        <v>0.92200000000000004</v>
      </c>
      <c r="X2" s="194">
        <v>0.92</v>
      </c>
      <c r="Y2" s="194">
        <v>2322</v>
      </c>
      <c r="Z2" s="194">
        <v>0.92400000000000004</v>
      </c>
      <c r="AA2" s="194">
        <v>0.92100000000000004</v>
      </c>
      <c r="AB2" s="194">
        <v>2371</v>
      </c>
      <c r="AC2" s="194">
        <v>0.92600000000000005</v>
      </c>
      <c r="AD2" s="194">
        <v>0.93</v>
      </c>
      <c r="AE2" s="194">
        <v>2458</v>
      </c>
      <c r="AF2" s="194">
        <v>0.92300000000000004</v>
      </c>
      <c r="AG2" s="194">
        <v>0.92700000000000005</v>
      </c>
      <c r="AH2" s="194">
        <v>2720</v>
      </c>
      <c r="AI2" s="194">
        <v>0.92</v>
      </c>
      <c r="AJ2" s="194">
        <v>0.91400000000000003</v>
      </c>
      <c r="AK2" s="194">
        <v>2702</v>
      </c>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row>
    <row r="3" spans="1:61" x14ac:dyDescent="0.3">
      <c r="A3" s="193" t="s">
        <v>402</v>
      </c>
      <c r="B3" s="194">
        <v>0.96599999999999997</v>
      </c>
      <c r="C3" s="194">
        <v>1</v>
      </c>
      <c r="D3" s="194">
        <v>47</v>
      </c>
      <c r="E3" s="194">
        <v>0.97699999999999998</v>
      </c>
      <c r="F3" s="194">
        <v>0.92900000000000005</v>
      </c>
      <c r="G3" s="194">
        <v>42</v>
      </c>
      <c r="H3" s="194">
        <v>0.97299999999999998</v>
      </c>
      <c r="I3" s="194">
        <v>1</v>
      </c>
      <c r="J3" s="194">
        <v>39</v>
      </c>
      <c r="K3" s="194">
        <v>0.98399999999999999</v>
      </c>
      <c r="L3" s="194">
        <v>1</v>
      </c>
      <c r="M3" s="194">
        <v>31</v>
      </c>
      <c r="N3" s="194">
        <v>0.96699999999999997</v>
      </c>
      <c r="O3" s="194">
        <v>0.96399999999999997</v>
      </c>
      <c r="P3" s="194">
        <v>56</v>
      </c>
      <c r="Q3" s="194">
        <v>0.96099999999999997</v>
      </c>
      <c r="R3" s="194">
        <v>0.94099999999999995</v>
      </c>
      <c r="S3" s="194">
        <v>34</v>
      </c>
      <c r="T3" s="194">
        <v>0.93100000000000005</v>
      </c>
      <c r="U3" s="194">
        <v>1</v>
      </c>
      <c r="V3" s="194">
        <v>13</v>
      </c>
      <c r="W3" s="194">
        <v>0.93100000000000005</v>
      </c>
      <c r="X3" s="194">
        <v>0.88</v>
      </c>
      <c r="Y3" s="194">
        <v>25</v>
      </c>
      <c r="Z3" s="194">
        <v>0.93799999999999994</v>
      </c>
      <c r="AA3" s="194">
        <v>0.95</v>
      </c>
      <c r="AB3" s="194">
        <v>20</v>
      </c>
      <c r="AC3" s="194">
        <v>0.96399999999999997</v>
      </c>
      <c r="AD3" s="194">
        <v>1</v>
      </c>
      <c r="AE3" s="194">
        <v>19</v>
      </c>
      <c r="AF3" s="194">
        <v>0.94199999999999995</v>
      </c>
      <c r="AG3" s="194">
        <v>0.94099999999999995</v>
      </c>
      <c r="AH3" s="194">
        <v>17</v>
      </c>
      <c r="AI3" s="194">
        <v>0.92</v>
      </c>
      <c r="AJ3" s="194">
        <v>0.90900000000000003</v>
      </c>
      <c r="AK3" s="194">
        <v>33</v>
      </c>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row>
    <row r="4" spans="1:61" x14ac:dyDescent="0.3">
      <c r="A4" s="193" t="s">
        <v>472</v>
      </c>
      <c r="B4" s="194">
        <v>0.98899999999999999</v>
      </c>
      <c r="C4" s="194">
        <v>0.97899999999999998</v>
      </c>
      <c r="D4" s="194">
        <v>47</v>
      </c>
      <c r="E4" s="194">
        <v>0.99199999999999999</v>
      </c>
      <c r="F4" s="194">
        <v>1</v>
      </c>
      <c r="G4" s="194">
        <v>41</v>
      </c>
      <c r="H4" s="194">
        <v>1</v>
      </c>
      <c r="I4" s="194">
        <v>1</v>
      </c>
      <c r="J4" s="194">
        <v>39</v>
      </c>
      <c r="K4" s="194">
        <v>1</v>
      </c>
      <c r="L4" s="194">
        <v>1</v>
      </c>
      <c r="M4" s="194">
        <v>33</v>
      </c>
      <c r="N4" s="194">
        <v>1</v>
      </c>
      <c r="O4" s="194">
        <v>1</v>
      </c>
      <c r="P4" s="194">
        <v>35</v>
      </c>
      <c r="Q4" s="194">
        <v>1</v>
      </c>
      <c r="R4" s="194">
        <v>1</v>
      </c>
      <c r="S4" s="194">
        <v>36</v>
      </c>
      <c r="T4" s="194">
        <v>1</v>
      </c>
      <c r="U4" s="194">
        <v>1</v>
      </c>
      <c r="V4" s="194">
        <v>36</v>
      </c>
      <c r="W4" s="194">
        <v>1</v>
      </c>
      <c r="X4" s="194">
        <v>1</v>
      </c>
      <c r="Y4" s="194">
        <v>46</v>
      </c>
      <c r="Z4" s="194">
        <v>1</v>
      </c>
      <c r="AA4" s="194">
        <v>1</v>
      </c>
      <c r="AB4" s="194">
        <v>32</v>
      </c>
      <c r="AC4" s="194">
        <v>0.99299999999999999</v>
      </c>
      <c r="AD4" s="194">
        <v>1</v>
      </c>
      <c r="AE4" s="194">
        <v>49</v>
      </c>
      <c r="AF4" s="194">
        <v>0.99399999999999999</v>
      </c>
      <c r="AG4" s="194">
        <v>0.98399999999999999</v>
      </c>
      <c r="AH4" s="194">
        <v>64</v>
      </c>
      <c r="AI4" s="194">
        <v>0.99099999999999999</v>
      </c>
      <c r="AJ4" s="194">
        <v>1</v>
      </c>
      <c r="AK4" s="194">
        <v>51</v>
      </c>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row>
    <row r="5" spans="1:61" x14ac:dyDescent="0.3">
      <c r="A5" s="193" t="s">
        <v>524</v>
      </c>
      <c r="B5" s="194">
        <v>0.89800000000000002</v>
      </c>
      <c r="C5" s="194">
        <v>0.88200000000000001</v>
      </c>
      <c r="D5" s="194">
        <v>34</v>
      </c>
      <c r="E5" s="194">
        <v>0.90200000000000002</v>
      </c>
      <c r="F5" s="194">
        <v>0.92</v>
      </c>
      <c r="G5" s="194">
        <v>25</v>
      </c>
      <c r="H5" s="194">
        <v>0.91</v>
      </c>
      <c r="I5" s="194">
        <v>0.91300000000000003</v>
      </c>
      <c r="J5" s="194">
        <v>23</v>
      </c>
      <c r="K5" s="194">
        <v>0.86699999999999999</v>
      </c>
      <c r="L5" s="194">
        <v>0.9</v>
      </c>
      <c r="M5" s="194">
        <v>30</v>
      </c>
      <c r="N5" s="194">
        <v>0.84699999999999998</v>
      </c>
      <c r="O5" s="194">
        <v>0.77300000000000002</v>
      </c>
      <c r="P5" s="194">
        <v>22</v>
      </c>
      <c r="Q5" s="194">
        <v>0.85299999999999998</v>
      </c>
      <c r="R5" s="194">
        <v>0.85</v>
      </c>
      <c r="S5" s="194">
        <v>20</v>
      </c>
      <c r="T5" s="194">
        <v>0.86699999999999999</v>
      </c>
      <c r="U5" s="194">
        <v>0.92300000000000004</v>
      </c>
      <c r="V5" s="194">
        <v>26</v>
      </c>
      <c r="W5" s="194">
        <v>0.88700000000000001</v>
      </c>
      <c r="X5" s="194">
        <v>0.82799999999999996</v>
      </c>
      <c r="Y5" s="194">
        <v>29</v>
      </c>
      <c r="Z5" s="194">
        <v>0.89200000000000002</v>
      </c>
      <c r="AA5" s="194">
        <v>0.92</v>
      </c>
      <c r="AB5" s="194">
        <v>25</v>
      </c>
      <c r="AC5" s="194">
        <v>0.88900000000000001</v>
      </c>
      <c r="AD5" s="194">
        <v>0.93100000000000005</v>
      </c>
      <c r="AE5" s="194">
        <v>29</v>
      </c>
      <c r="AF5" s="194">
        <v>0.89900000000000002</v>
      </c>
      <c r="AG5" s="194">
        <v>0.81499999999999995</v>
      </c>
      <c r="AH5" s="194">
        <v>27</v>
      </c>
      <c r="AI5" s="194">
        <v>0.88300000000000001</v>
      </c>
      <c r="AJ5" s="194">
        <v>0.93899999999999995</v>
      </c>
      <c r="AK5" s="194">
        <v>33</v>
      </c>
      <c r="AL5" s="140"/>
      <c r="AM5" s="140"/>
      <c r="AN5" s="140"/>
      <c r="AO5" s="140"/>
      <c r="AP5" s="140"/>
      <c r="AQ5" s="140"/>
      <c r="AR5" s="140"/>
      <c r="AS5" s="140"/>
      <c r="AT5" s="140"/>
      <c r="AU5" s="140"/>
      <c r="AV5" s="140"/>
      <c r="AW5" s="140"/>
      <c r="AX5" s="140"/>
      <c r="AY5" s="140"/>
      <c r="AZ5" s="140"/>
      <c r="BA5" s="140"/>
      <c r="BB5" s="140"/>
      <c r="BC5" s="140"/>
      <c r="BD5" s="140"/>
      <c r="BE5" s="140"/>
      <c r="BF5" s="140"/>
      <c r="BG5" s="140"/>
      <c r="BH5" s="140"/>
      <c r="BI5" s="140"/>
    </row>
    <row r="6" spans="1:61" x14ac:dyDescent="0.3">
      <c r="A6" s="193" t="s">
        <v>378</v>
      </c>
      <c r="B6" s="194">
        <v>0.94099999999999995</v>
      </c>
      <c r="C6" s="194">
        <v>1</v>
      </c>
      <c r="D6" s="194">
        <v>5</v>
      </c>
      <c r="E6" s="194">
        <v>0.96199999999999997</v>
      </c>
      <c r="F6" s="194">
        <v>0.91700000000000004</v>
      </c>
      <c r="G6" s="194">
        <v>12</v>
      </c>
      <c r="H6" s="194">
        <v>0.96299999999999997</v>
      </c>
      <c r="I6" s="194">
        <v>1</v>
      </c>
      <c r="J6" s="194">
        <v>9</v>
      </c>
      <c r="K6" s="194">
        <v>0.95</v>
      </c>
      <c r="L6" s="194">
        <v>1</v>
      </c>
      <c r="M6" s="194">
        <v>6</v>
      </c>
      <c r="N6" s="194">
        <v>0.92900000000000005</v>
      </c>
      <c r="O6" s="194">
        <v>0.8</v>
      </c>
      <c r="P6" s="194">
        <v>5</v>
      </c>
      <c r="Q6" s="194">
        <v>0.94099999999999995</v>
      </c>
      <c r="R6" s="194">
        <v>1</v>
      </c>
      <c r="S6" s="194">
        <v>3</v>
      </c>
      <c r="T6" s="194">
        <v>1</v>
      </c>
      <c r="U6" s="194">
        <v>1</v>
      </c>
      <c r="V6" s="194">
        <v>9</v>
      </c>
      <c r="W6" s="194">
        <v>1</v>
      </c>
      <c r="X6" s="194">
        <v>1</v>
      </c>
      <c r="Y6" s="194">
        <v>9</v>
      </c>
      <c r="Z6" s="194">
        <v>1</v>
      </c>
      <c r="AA6" s="194">
        <v>1</v>
      </c>
      <c r="AB6" s="194">
        <v>4</v>
      </c>
      <c r="AC6" s="194">
        <v>1</v>
      </c>
      <c r="AD6" s="194">
        <v>1</v>
      </c>
      <c r="AE6" s="194">
        <v>6</v>
      </c>
      <c r="AF6" s="194">
        <v>0.96799999999999997</v>
      </c>
      <c r="AG6" s="194">
        <v>1</v>
      </c>
      <c r="AH6" s="194">
        <v>6</v>
      </c>
      <c r="AI6" s="194">
        <v>0.96</v>
      </c>
      <c r="AJ6" s="194">
        <v>0.94699999999999995</v>
      </c>
      <c r="AK6" s="194">
        <v>19</v>
      </c>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row>
    <row r="7" spans="1:61" x14ac:dyDescent="0.3">
      <c r="A7" s="193" t="s">
        <v>281</v>
      </c>
      <c r="B7" s="194">
        <v>1</v>
      </c>
      <c r="C7" s="194">
        <v>1</v>
      </c>
      <c r="D7" s="194">
        <v>11</v>
      </c>
      <c r="E7" s="194">
        <v>0.97799999999999998</v>
      </c>
      <c r="F7" s="194">
        <v>1</v>
      </c>
      <c r="G7" s="194">
        <v>10</v>
      </c>
      <c r="H7" s="194">
        <v>0.94799999999999995</v>
      </c>
      <c r="I7" s="194">
        <v>0.96</v>
      </c>
      <c r="J7" s="194">
        <v>25</v>
      </c>
      <c r="K7" s="194">
        <v>0.94399999999999995</v>
      </c>
      <c r="L7" s="194">
        <v>0.91300000000000003</v>
      </c>
      <c r="M7" s="194">
        <v>23</v>
      </c>
      <c r="N7" s="194">
        <v>0.94699999999999995</v>
      </c>
      <c r="O7" s="194">
        <v>1</v>
      </c>
      <c r="P7" s="194">
        <v>6</v>
      </c>
      <c r="Q7" s="194">
        <v>1</v>
      </c>
      <c r="R7" s="194">
        <v>1</v>
      </c>
      <c r="S7" s="194">
        <v>9</v>
      </c>
      <c r="T7" s="194">
        <v>0.96199999999999997</v>
      </c>
      <c r="U7" s="194">
        <v>1</v>
      </c>
      <c r="V7" s="194">
        <v>20</v>
      </c>
      <c r="W7" s="194">
        <v>0.96499999999999997</v>
      </c>
      <c r="X7" s="194">
        <v>0.91700000000000004</v>
      </c>
      <c r="Y7" s="194">
        <v>24</v>
      </c>
      <c r="Z7" s="194">
        <v>0.96599999999999997</v>
      </c>
      <c r="AA7" s="194">
        <v>1</v>
      </c>
      <c r="AB7" s="194">
        <v>13</v>
      </c>
      <c r="AC7" s="194">
        <v>1</v>
      </c>
      <c r="AD7" s="194">
        <v>1</v>
      </c>
      <c r="AE7" s="194">
        <v>22</v>
      </c>
      <c r="AF7" s="194">
        <v>0.97899999999999998</v>
      </c>
      <c r="AG7" s="194">
        <v>1</v>
      </c>
      <c r="AH7" s="194">
        <v>12</v>
      </c>
      <c r="AI7" s="194">
        <v>0.96</v>
      </c>
      <c r="AJ7" s="194">
        <v>0.92300000000000004</v>
      </c>
      <c r="AK7" s="194">
        <v>13</v>
      </c>
      <c r="AL7" s="140"/>
      <c r="AM7" s="140"/>
      <c r="AN7" s="140"/>
      <c r="AO7" s="140"/>
      <c r="AP7" s="140"/>
      <c r="AQ7" s="140"/>
      <c r="AR7" s="140"/>
      <c r="AS7" s="140"/>
      <c r="AT7" s="140"/>
      <c r="AU7" s="140"/>
      <c r="AV7" s="140"/>
      <c r="AW7" s="140"/>
      <c r="AX7" s="140"/>
      <c r="AY7" s="140"/>
      <c r="AZ7" s="140"/>
      <c r="BA7" s="140"/>
      <c r="BB7" s="140"/>
      <c r="BC7" s="140"/>
      <c r="BD7" s="140"/>
      <c r="BE7" s="140"/>
      <c r="BF7" s="140"/>
      <c r="BG7" s="140"/>
      <c r="BH7" s="140"/>
      <c r="BI7" s="140"/>
    </row>
    <row r="8" spans="1:61" x14ac:dyDescent="0.3">
      <c r="A8" s="193" t="s">
        <v>398</v>
      </c>
      <c r="B8" s="194">
        <v>1</v>
      </c>
      <c r="C8" s="194">
        <v>1</v>
      </c>
      <c r="D8" s="194">
        <v>18</v>
      </c>
      <c r="E8" s="194">
        <v>0.95899999999999996</v>
      </c>
      <c r="F8" s="194">
        <v>1</v>
      </c>
      <c r="G8" s="194">
        <v>13</v>
      </c>
      <c r="H8" s="194">
        <v>0.92100000000000004</v>
      </c>
      <c r="I8" s="194">
        <v>0.88900000000000001</v>
      </c>
      <c r="J8" s="194">
        <v>18</v>
      </c>
      <c r="K8" s="194">
        <v>0.88600000000000001</v>
      </c>
      <c r="L8" s="194">
        <v>0.85699999999999998</v>
      </c>
      <c r="M8" s="194">
        <v>7</v>
      </c>
      <c r="N8" s="194">
        <v>0.84599999999999997</v>
      </c>
      <c r="O8" s="194">
        <v>0.9</v>
      </c>
      <c r="P8" s="194">
        <v>10</v>
      </c>
      <c r="Q8" s="194">
        <v>0.85299999999999998</v>
      </c>
      <c r="R8" s="194">
        <v>0.77800000000000002</v>
      </c>
      <c r="S8" s="194">
        <v>9</v>
      </c>
      <c r="T8" s="194">
        <v>0.86099999999999999</v>
      </c>
      <c r="U8" s="194">
        <v>0.86699999999999999</v>
      </c>
      <c r="V8" s="194">
        <v>15</v>
      </c>
      <c r="W8" s="194">
        <v>0.89500000000000002</v>
      </c>
      <c r="X8" s="194">
        <v>0.91700000000000004</v>
      </c>
      <c r="Y8" s="194">
        <v>12</v>
      </c>
      <c r="Z8" s="194">
        <v>0.86699999999999999</v>
      </c>
      <c r="AA8" s="194">
        <v>0.90900000000000003</v>
      </c>
      <c r="AB8" s="194">
        <v>11</v>
      </c>
      <c r="AC8" s="194">
        <v>0.84899999999999998</v>
      </c>
      <c r="AD8" s="194">
        <v>0.81799999999999995</v>
      </c>
      <c r="AE8" s="194">
        <v>22</v>
      </c>
      <c r="AF8" s="194">
        <v>0.84299999999999997</v>
      </c>
      <c r="AG8" s="194">
        <v>0.85</v>
      </c>
      <c r="AH8" s="194">
        <v>20</v>
      </c>
      <c r="AI8" s="194">
        <v>0.85399999999999998</v>
      </c>
      <c r="AJ8" s="194">
        <v>0.85699999999999998</v>
      </c>
      <c r="AK8" s="194">
        <v>28</v>
      </c>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row>
    <row r="9" spans="1:61" x14ac:dyDescent="0.3">
      <c r="A9" s="193" t="s">
        <v>452</v>
      </c>
      <c r="B9" s="194">
        <v>1</v>
      </c>
      <c r="C9" s="194">
        <v>1</v>
      </c>
      <c r="D9" s="194">
        <v>17</v>
      </c>
      <c r="E9" s="194">
        <v>0.97599999999999998</v>
      </c>
      <c r="F9" s="194">
        <v>1</v>
      </c>
      <c r="G9" s="194">
        <v>13</v>
      </c>
      <c r="H9" s="194">
        <v>0.97599999999999998</v>
      </c>
      <c r="I9" s="194">
        <v>0.91700000000000004</v>
      </c>
      <c r="J9" s="194">
        <v>12</v>
      </c>
      <c r="K9" s="194">
        <v>0.97399999999999998</v>
      </c>
      <c r="L9" s="194">
        <v>1</v>
      </c>
      <c r="M9" s="194">
        <v>17</v>
      </c>
      <c r="N9" s="194">
        <v>1</v>
      </c>
      <c r="O9" s="194">
        <v>1</v>
      </c>
      <c r="P9" s="194">
        <v>10</v>
      </c>
      <c r="Q9" s="194">
        <v>0.95799999999999996</v>
      </c>
      <c r="R9" s="194">
        <v>1</v>
      </c>
      <c r="S9" s="194">
        <v>22</v>
      </c>
      <c r="T9" s="194">
        <v>0.94099999999999995</v>
      </c>
      <c r="U9" s="194">
        <v>0.875</v>
      </c>
      <c r="V9" s="194">
        <v>16</v>
      </c>
      <c r="W9" s="194">
        <v>0.91100000000000003</v>
      </c>
      <c r="X9" s="194">
        <v>0.92300000000000004</v>
      </c>
      <c r="Y9" s="194">
        <v>13</v>
      </c>
      <c r="Z9" s="194">
        <v>0.95299999999999996</v>
      </c>
      <c r="AA9" s="194">
        <v>0.93799999999999994</v>
      </c>
      <c r="AB9" s="194">
        <v>16</v>
      </c>
      <c r="AC9" s="194">
        <v>0.93899999999999995</v>
      </c>
      <c r="AD9" s="194">
        <v>1</v>
      </c>
      <c r="AE9" s="194">
        <v>14</v>
      </c>
      <c r="AF9" s="194">
        <v>0.95599999999999996</v>
      </c>
      <c r="AG9" s="194">
        <v>0.89500000000000002</v>
      </c>
      <c r="AH9" s="194">
        <v>19</v>
      </c>
      <c r="AI9" s="194">
        <v>0.93500000000000005</v>
      </c>
      <c r="AJ9" s="194">
        <v>1</v>
      </c>
      <c r="AK9" s="194">
        <v>12</v>
      </c>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row>
    <row r="10" spans="1:61" x14ac:dyDescent="0.3">
      <c r="A10" s="193" t="s">
        <v>520</v>
      </c>
      <c r="B10" s="194">
        <v>1</v>
      </c>
      <c r="C10" s="194">
        <v>1</v>
      </c>
      <c r="D10" s="194">
        <v>2</v>
      </c>
      <c r="E10" s="194">
        <v>0.92900000000000005</v>
      </c>
      <c r="F10" s="194">
        <v>1</v>
      </c>
      <c r="G10" s="194">
        <v>7</v>
      </c>
      <c r="H10" s="194">
        <v>0.92300000000000004</v>
      </c>
      <c r="I10" s="194">
        <v>0.8</v>
      </c>
      <c r="J10" s="194">
        <v>5</v>
      </c>
      <c r="K10" s="194">
        <v>0.8</v>
      </c>
      <c r="L10" s="194">
        <v>1</v>
      </c>
      <c r="M10" s="194">
        <v>1</v>
      </c>
      <c r="N10" s="194">
        <v>0.83299999999999996</v>
      </c>
      <c r="O10" s="194">
        <v>0.75</v>
      </c>
      <c r="P10" s="194">
        <v>4</v>
      </c>
      <c r="Q10" s="194">
        <v>0.75</v>
      </c>
      <c r="R10" s="194">
        <v>1</v>
      </c>
      <c r="S10" s="194">
        <v>1</v>
      </c>
      <c r="T10" s="194">
        <v>0.8</v>
      </c>
      <c r="U10" s="194">
        <v>0.66700000000000004</v>
      </c>
      <c r="V10" s="194">
        <v>3</v>
      </c>
      <c r="W10" s="194">
        <v>0.8</v>
      </c>
      <c r="X10" s="194">
        <v>1</v>
      </c>
      <c r="Y10" s="194">
        <v>1</v>
      </c>
      <c r="Z10" s="194">
        <v>1</v>
      </c>
      <c r="AA10" s="194">
        <v>1</v>
      </c>
      <c r="AB10" s="194">
        <v>1</v>
      </c>
      <c r="AC10" s="194">
        <v>1</v>
      </c>
      <c r="AD10" s="194">
        <v>1</v>
      </c>
      <c r="AE10" s="194">
        <v>1</v>
      </c>
      <c r="AF10" s="194">
        <v>1</v>
      </c>
      <c r="AG10" s="194">
        <v>1</v>
      </c>
      <c r="AH10" s="194">
        <v>3</v>
      </c>
      <c r="AI10" s="194">
        <v>1</v>
      </c>
      <c r="AJ10" s="194"/>
      <c r="AK10" s="194"/>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row>
    <row r="11" spans="1:61" x14ac:dyDescent="0.3">
      <c r="A11" s="193" t="s">
        <v>510</v>
      </c>
      <c r="B11" s="194">
        <v>1</v>
      </c>
      <c r="C11" s="194">
        <v>1</v>
      </c>
      <c r="D11" s="194">
        <v>12</v>
      </c>
      <c r="E11" s="194">
        <v>1</v>
      </c>
      <c r="F11" s="194">
        <v>1</v>
      </c>
      <c r="G11" s="194">
        <v>15</v>
      </c>
      <c r="H11" s="194">
        <v>1</v>
      </c>
      <c r="I11" s="194">
        <v>1</v>
      </c>
      <c r="J11" s="194">
        <v>11</v>
      </c>
      <c r="K11" s="194">
        <v>1</v>
      </c>
      <c r="L11" s="194">
        <v>1</v>
      </c>
      <c r="M11" s="194">
        <v>10</v>
      </c>
      <c r="N11" s="194">
        <v>1</v>
      </c>
      <c r="O11" s="194">
        <v>1</v>
      </c>
      <c r="P11" s="194">
        <v>15</v>
      </c>
      <c r="Q11" s="194">
        <v>1</v>
      </c>
      <c r="R11" s="194">
        <v>1</v>
      </c>
      <c r="S11" s="194">
        <v>7</v>
      </c>
      <c r="T11" s="194">
        <v>1</v>
      </c>
      <c r="U11" s="194">
        <v>1</v>
      </c>
      <c r="V11" s="194">
        <v>12</v>
      </c>
      <c r="W11" s="194">
        <v>1</v>
      </c>
      <c r="X11" s="194">
        <v>1</v>
      </c>
      <c r="Y11" s="194">
        <v>13</v>
      </c>
      <c r="Z11" s="194">
        <v>1</v>
      </c>
      <c r="AA11" s="194">
        <v>1</v>
      </c>
      <c r="AB11" s="194">
        <v>9</v>
      </c>
      <c r="AC11" s="194">
        <v>1</v>
      </c>
      <c r="AD11" s="194">
        <v>1</v>
      </c>
      <c r="AE11" s="194">
        <v>10</v>
      </c>
      <c r="AF11" s="194">
        <v>1</v>
      </c>
      <c r="AG11" s="194">
        <v>1</v>
      </c>
      <c r="AH11" s="194">
        <v>12</v>
      </c>
      <c r="AI11" s="194">
        <v>1</v>
      </c>
      <c r="AJ11" s="194">
        <v>1</v>
      </c>
      <c r="AK11" s="194">
        <v>8</v>
      </c>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row>
    <row r="12" spans="1:61" x14ac:dyDescent="0.3">
      <c r="A12" s="193" t="s">
        <v>296</v>
      </c>
      <c r="B12" s="194">
        <v>0.96199999999999997</v>
      </c>
      <c r="C12" s="194">
        <v>0.90900000000000003</v>
      </c>
      <c r="D12" s="194">
        <v>11</v>
      </c>
      <c r="E12" s="194">
        <v>0.97499999999999998</v>
      </c>
      <c r="F12" s="194">
        <v>1</v>
      </c>
      <c r="G12" s="194">
        <v>15</v>
      </c>
      <c r="H12" s="194">
        <v>1</v>
      </c>
      <c r="I12" s="194">
        <v>1</v>
      </c>
      <c r="J12" s="194">
        <v>14</v>
      </c>
      <c r="K12" s="194">
        <v>1</v>
      </c>
      <c r="L12" s="194">
        <v>1</v>
      </c>
      <c r="M12" s="194">
        <v>10</v>
      </c>
      <c r="N12" s="194">
        <v>1</v>
      </c>
      <c r="O12" s="194">
        <v>1</v>
      </c>
      <c r="P12" s="194">
        <v>12</v>
      </c>
      <c r="Q12" s="194">
        <v>1</v>
      </c>
      <c r="R12" s="194">
        <v>1</v>
      </c>
      <c r="S12" s="194">
        <v>19</v>
      </c>
      <c r="T12" s="194">
        <v>1</v>
      </c>
      <c r="U12" s="194">
        <v>1</v>
      </c>
      <c r="V12" s="194">
        <v>9</v>
      </c>
      <c r="W12" s="194">
        <v>1</v>
      </c>
      <c r="X12" s="194">
        <v>1</v>
      </c>
      <c r="Y12" s="194">
        <v>11</v>
      </c>
      <c r="Z12" s="194">
        <v>1</v>
      </c>
      <c r="AA12" s="194">
        <v>1</v>
      </c>
      <c r="AB12" s="194">
        <v>22</v>
      </c>
      <c r="AC12" s="194">
        <v>1</v>
      </c>
      <c r="AD12" s="194">
        <v>1</v>
      </c>
      <c r="AE12" s="194">
        <v>14</v>
      </c>
      <c r="AF12" s="194">
        <v>1</v>
      </c>
      <c r="AG12" s="194">
        <v>1</v>
      </c>
      <c r="AH12" s="194">
        <v>14</v>
      </c>
      <c r="AI12" s="194">
        <v>1</v>
      </c>
      <c r="AJ12" s="194">
        <v>1</v>
      </c>
      <c r="AK12" s="194">
        <v>12</v>
      </c>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row>
    <row r="13" spans="1:61" x14ac:dyDescent="0.3">
      <c r="A13" s="193" t="s">
        <v>406</v>
      </c>
      <c r="B13" s="194">
        <v>0.98899999999999999</v>
      </c>
      <c r="C13" s="194">
        <v>1</v>
      </c>
      <c r="D13" s="194">
        <v>47</v>
      </c>
      <c r="E13" s="194">
        <v>0.98</v>
      </c>
      <c r="F13" s="194">
        <v>0.97899999999999998</v>
      </c>
      <c r="G13" s="194">
        <v>48</v>
      </c>
      <c r="H13" s="194">
        <v>0.96899999999999997</v>
      </c>
      <c r="I13" s="194">
        <v>0.96299999999999997</v>
      </c>
      <c r="J13" s="194">
        <v>54</v>
      </c>
      <c r="K13" s="194">
        <v>0.95899999999999996</v>
      </c>
      <c r="L13" s="194">
        <v>0.96499999999999997</v>
      </c>
      <c r="M13" s="194">
        <v>57</v>
      </c>
      <c r="N13" s="194">
        <v>0.92100000000000004</v>
      </c>
      <c r="O13" s="194">
        <v>0.94299999999999995</v>
      </c>
      <c r="P13" s="194">
        <v>35</v>
      </c>
      <c r="Q13" s="194">
        <v>0.89</v>
      </c>
      <c r="R13" s="194">
        <v>0.82399999999999995</v>
      </c>
      <c r="S13" s="194">
        <v>34</v>
      </c>
      <c r="T13" s="194">
        <v>0.876</v>
      </c>
      <c r="U13" s="194">
        <v>0.90900000000000003</v>
      </c>
      <c r="V13" s="194">
        <v>22</v>
      </c>
      <c r="W13" s="194">
        <v>0.90200000000000002</v>
      </c>
      <c r="X13" s="194">
        <v>0.89800000000000002</v>
      </c>
      <c r="Y13" s="194">
        <v>49</v>
      </c>
      <c r="Z13" s="194">
        <v>0.92600000000000005</v>
      </c>
      <c r="AA13" s="194">
        <v>0.90200000000000002</v>
      </c>
      <c r="AB13" s="194">
        <v>61</v>
      </c>
      <c r="AC13" s="194">
        <v>0.92500000000000004</v>
      </c>
      <c r="AD13" s="194">
        <v>0.96899999999999997</v>
      </c>
      <c r="AE13" s="194">
        <v>65</v>
      </c>
      <c r="AF13" s="194">
        <v>0.92900000000000005</v>
      </c>
      <c r="AG13" s="194">
        <v>0.91</v>
      </c>
      <c r="AH13" s="194">
        <v>100</v>
      </c>
      <c r="AI13" s="194">
        <v>0.91400000000000003</v>
      </c>
      <c r="AJ13" s="194">
        <v>0.92</v>
      </c>
      <c r="AK13" s="194">
        <v>75</v>
      </c>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row>
    <row r="14" spans="1:61" x14ac:dyDescent="0.3">
      <c r="A14" s="193" t="s">
        <v>450</v>
      </c>
      <c r="B14" s="194">
        <v>0.97599999999999998</v>
      </c>
      <c r="C14" s="194">
        <v>0.98399999999999999</v>
      </c>
      <c r="D14" s="194">
        <v>63</v>
      </c>
      <c r="E14" s="194">
        <v>0.97899999999999998</v>
      </c>
      <c r="F14" s="194">
        <v>0.96699999999999997</v>
      </c>
      <c r="G14" s="194">
        <v>61</v>
      </c>
      <c r="H14" s="194">
        <v>0.96099999999999997</v>
      </c>
      <c r="I14" s="194">
        <v>0.98399999999999999</v>
      </c>
      <c r="J14" s="194">
        <v>63</v>
      </c>
      <c r="K14" s="194">
        <v>0.93200000000000005</v>
      </c>
      <c r="L14" s="194">
        <v>0.92600000000000005</v>
      </c>
      <c r="M14" s="194">
        <v>54</v>
      </c>
      <c r="N14" s="194">
        <v>0.91600000000000004</v>
      </c>
      <c r="O14" s="194">
        <v>0.88100000000000001</v>
      </c>
      <c r="P14" s="194">
        <v>59</v>
      </c>
      <c r="Q14" s="194">
        <v>0.93400000000000005</v>
      </c>
      <c r="R14" s="194">
        <v>0.94299999999999995</v>
      </c>
      <c r="S14" s="194">
        <v>53</v>
      </c>
      <c r="T14" s="194">
        <v>0.94099999999999995</v>
      </c>
      <c r="U14" s="194">
        <v>1</v>
      </c>
      <c r="V14" s="194">
        <v>40</v>
      </c>
      <c r="W14" s="194">
        <v>0.91800000000000004</v>
      </c>
      <c r="X14" s="194">
        <v>0.88100000000000001</v>
      </c>
      <c r="Y14" s="194">
        <v>42</v>
      </c>
      <c r="Z14" s="194">
        <v>0.90600000000000003</v>
      </c>
      <c r="AA14" s="194">
        <v>0.88500000000000001</v>
      </c>
      <c r="AB14" s="194">
        <v>52</v>
      </c>
      <c r="AC14" s="194">
        <v>0.93799999999999994</v>
      </c>
      <c r="AD14" s="194">
        <v>0.93799999999999994</v>
      </c>
      <c r="AE14" s="194">
        <v>65</v>
      </c>
      <c r="AF14" s="194">
        <v>0.96399999999999997</v>
      </c>
      <c r="AG14" s="194">
        <v>0.97399999999999998</v>
      </c>
      <c r="AH14" s="194">
        <v>76</v>
      </c>
      <c r="AI14" s="194">
        <v>0.97699999999999998</v>
      </c>
      <c r="AJ14" s="194">
        <v>0.98099999999999998</v>
      </c>
      <c r="AK14" s="194">
        <v>54</v>
      </c>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row>
    <row r="15" spans="1:61" x14ac:dyDescent="0.3">
      <c r="A15" s="193" t="s">
        <v>420</v>
      </c>
      <c r="B15" s="194">
        <v>1</v>
      </c>
      <c r="C15" s="194">
        <v>1</v>
      </c>
      <c r="D15" s="194">
        <v>3</v>
      </c>
      <c r="E15" s="194">
        <v>1</v>
      </c>
      <c r="F15" s="194"/>
      <c r="G15" s="194"/>
      <c r="H15" s="194">
        <v>1</v>
      </c>
      <c r="I15" s="194">
        <v>1</v>
      </c>
      <c r="J15" s="194">
        <v>3</v>
      </c>
      <c r="K15" s="194">
        <v>1</v>
      </c>
      <c r="L15" s="194">
        <v>1</v>
      </c>
      <c r="M15" s="194">
        <v>3</v>
      </c>
      <c r="N15" s="194">
        <v>1</v>
      </c>
      <c r="O15" s="194">
        <v>1</v>
      </c>
      <c r="P15" s="194">
        <v>1</v>
      </c>
      <c r="Q15" s="194">
        <v>1</v>
      </c>
      <c r="R15" s="194">
        <v>1</v>
      </c>
      <c r="S15" s="194">
        <v>3</v>
      </c>
      <c r="T15" s="194">
        <v>1</v>
      </c>
      <c r="U15" s="194">
        <v>1</v>
      </c>
      <c r="V15" s="194">
        <v>2</v>
      </c>
      <c r="W15" s="194">
        <v>1</v>
      </c>
      <c r="X15" s="194">
        <v>1</v>
      </c>
      <c r="Y15" s="194">
        <v>3</v>
      </c>
      <c r="Z15" s="194">
        <v>0.92900000000000005</v>
      </c>
      <c r="AA15" s="194">
        <v>1</v>
      </c>
      <c r="AB15" s="194">
        <v>3</v>
      </c>
      <c r="AC15" s="194">
        <v>0.96</v>
      </c>
      <c r="AD15" s="194">
        <v>0.875</v>
      </c>
      <c r="AE15" s="194">
        <v>8</v>
      </c>
      <c r="AF15" s="194">
        <v>0.96</v>
      </c>
      <c r="AG15" s="194">
        <v>1</v>
      </c>
      <c r="AH15" s="194">
        <v>14</v>
      </c>
      <c r="AI15" s="194">
        <v>1</v>
      </c>
      <c r="AJ15" s="194">
        <v>1</v>
      </c>
      <c r="AK15" s="194">
        <v>3</v>
      </c>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row>
    <row r="16" spans="1:61" x14ac:dyDescent="0.3">
      <c r="A16" s="193" t="s">
        <v>494</v>
      </c>
      <c r="B16" s="194">
        <v>1</v>
      </c>
      <c r="C16" s="194">
        <v>1</v>
      </c>
      <c r="D16" s="194">
        <v>6</v>
      </c>
      <c r="E16" s="194">
        <v>0.93799999999999994</v>
      </c>
      <c r="F16" s="194">
        <v>1</v>
      </c>
      <c r="G16" s="194">
        <v>4</v>
      </c>
      <c r="H16" s="194">
        <v>0.91700000000000004</v>
      </c>
      <c r="I16" s="194">
        <v>0.83299999999999996</v>
      </c>
      <c r="J16" s="194">
        <v>6</v>
      </c>
      <c r="K16" s="194">
        <v>0.93799999999999994</v>
      </c>
      <c r="L16" s="194">
        <v>1</v>
      </c>
      <c r="M16" s="194">
        <v>2</v>
      </c>
      <c r="N16" s="194">
        <v>1</v>
      </c>
      <c r="O16" s="194">
        <v>1</v>
      </c>
      <c r="P16" s="194">
        <v>8</v>
      </c>
      <c r="Q16" s="194">
        <v>1</v>
      </c>
      <c r="R16" s="194">
        <v>1</v>
      </c>
      <c r="S16" s="194">
        <v>6</v>
      </c>
      <c r="T16" s="194">
        <v>1</v>
      </c>
      <c r="U16" s="194">
        <v>1</v>
      </c>
      <c r="V16" s="194">
        <v>5</v>
      </c>
      <c r="W16" s="194">
        <v>1</v>
      </c>
      <c r="X16" s="194">
        <v>1</v>
      </c>
      <c r="Y16" s="194">
        <v>10</v>
      </c>
      <c r="Z16" s="194">
        <v>1</v>
      </c>
      <c r="AA16" s="194">
        <v>1</v>
      </c>
      <c r="AB16" s="194">
        <v>6</v>
      </c>
      <c r="AC16" s="194">
        <v>1</v>
      </c>
      <c r="AD16" s="194">
        <v>1</v>
      </c>
      <c r="AE16" s="194">
        <v>11</v>
      </c>
      <c r="AF16" s="194">
        <v>1</v>
      </c>
      <c r="AG16" s="194">
        <v>1</v>
      </c>
      <c r="AH16" s="194">
        <v>10</v>
      </c>
      <c r="AI16" s="194">
        <v>1</v>
      </c>
      <c r="AJ16" s="194">
        <v>1</v>
      </c>
      <c r="AK16" s="194">
        <v>7</v>
      </c>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row>
    <row r="17" spans="1:61" x14ac:dyDescent="0.3">
      <c r="A17" s="193" t="s">
        <v>386</v>
      </c>
      <c r="B17" s="194">
        <v>1</v>
      </c>
      <c r="C17" s="194">
        <v>1</v>
      </c>
      <c r="D17" s="194">
        <v>8</v>
      </c>
      <c r="E17" s="194">
        <v>0.95799999999999996</v>
      </c>
      <c r="F17" s="194">
        <v>1</v>
      </c>
      <c r="G17" s="194">
        <v>9</v>
      </c>
      <c r="H17" s="194">
        <v>0.88500000000000001</v>
      </c>
      <c r="I17" s="194">
        <v>0.85699999999999998</v>
      </c>
      <c r="J17" s="194">
        <v>7</v>
      </c>
      <c r="K17" s="194">
        <v>0.9</v>
      </c>
      <c r="L17" s="194">
        <v>0.8</v>
      </c>
      <c r="M17" s="194">
        <v>10</v>
      </c>
      <c r="N17" s="194">
        <v>0.84799999999999998</v>
      </c>
      <c r="O17" s="194">
        <v>1</v>
      </c>
      <c r="P17" s="194">
        <v>13</v>
      </c>
      <c r="Q17" s="194">
        <v>0.88200000000000001</v>
      </c>
      <c r="R17" s="194">
        <v>0.7</v>
      </c>
      <c r="S17" s="194">
        <v>10</v>
      </c>
      <c r="T17" s="194">
        <v>0.86699999999999999</v>
      </c>
      <c r="U17" s="194">
        <v>0.90900000000000003</v>
      </c>
      <c r="V17" s="194">
        <v>11</v>
      </c>
      <c r="W17" s="194">
        <v>0.94099999999999995</v>
      </c>
      <c r="X17" s="194">
        <v>1</v>
      </c>
      <c r="Y17" s="194">
        <v>9</v>
      </c>
      <c r="Z17" s="194">
        <v>0.91700000000000004</v>
      </c>
      <c r="AA17" s="194">
        <v>0.92900000000000005</v>
      </c>
      <c r="AB17" s="194">
        <v>14</v>
      </c>
      <c r="AC17" s="194">
        <v>0.91900000000000004</v>
      </c>
      <c r="AD17" s="194">
        <v>0.84599999999999997</v>
      </c>
      <c r="AE17" s="194">
        <v>13</v>
      </c>
      <c r="AF17" s="194">
        <v>0.92900000000000005</v>
      </c>
      <c r="AG17" s="194">
        <v>1</v>
      </c>
      <c r="AH17" s="194">
        <v>10</v>
      </c>
      <c r="AI17" s="194">
        <v>0.96599999999999997</v>
      </c>
      <c r="AJ17" s="194">
        <v>0.94699999999999995</v>
      </c>
      <c r="AK17" s="194">
        <v>19</v>
      </c>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row>
    <row r="18" spans="1:61" x14ac:dyDescent="0.3">
      <c r="A18" s="193" t="s">
        <v>333</v>
      </c>
      <c r="B18" s="194">
        <v>0.85699999999999998</v>
      </c>
      <c r="C18" s="194">
        <v>0.91700000000000004</v>
      </c>
      <c r="D18" s="194">
        <v>12</v>
      </c>
      <c r="E18" s="194">
        <v>0.9</v>
      </c>
      <c r="F18" s="194">
        <v>0.77800000000000002</v>
      </c>
      <c r="G18" s="194">
        <v>9</v>
      </c>
      <c r="H18" s="194">
        <v>0.92600000000000005</v>
      </c>
      <c r="I18" s="194">
        <v>1</v>
      </c>
      <c r="J18" s="194">
        <v>9</v>
      </c>
      <c r="K18" s="194">
        <v>1</v>
      </c>
      <c r="L18" s="194">
        <v>1</v>
      </c>
      <c r="M18" s="194">
        <v>9</v>
      </c>
      <c r="N18" s="194">
        <v>1</v>
      </c>
      <c r="O18" s="194">
        <v>1</v>
      </c>
      <c r="P18" s="194">
        <v>11</v>
      </c>
      <c r="Q18" s="194">
        <v>0.97099999999999997</v>
      </c>
      <c r="R18" s="194">
        <v>1</v>
      </c>
      <c r="S18" s="194">
        <v>10</v>
      </c>
      <c r="T18" s="194">
        <v>0.93899999999999995</v>
      </c>
      <c r="U18" s="194">
        <v>0.92300000000000004</v>
      </c>
      <c r="V18" s="194">
        <v>13</v>
      </c>
      <c r="W18" s="194">
        <v>0.94299999999999995</v>
      </c>
      <c r="X18" s="194">
        <v>0.9</v>
      </c>
      <c r="Y18" s="194">
        <v>10</v>
      </c>
      <c r="Z18" s="194">
        <v>0.93899999999999995</v>
      </c>
      <c r="AA18" s="194">
        <v>1</v>
      </c>
      <c r="AB18" s="194">
        <v>12</v>
      </c>
      <c r="AC18" s="194">
        <v>0.97299999999999998</v>
      </c>
      <c r="AD18" s="194">
        <v>0.90900000000000003</v>
      </c>
      <c r="AE18" s="194">
        <v>11</v>
      </c>
      <c r="AF18" s="194">
        <v>0.97099999999999997</v>
      </c>
      <c r="AG18" s="194">
        <v>1</v>
      </c>
      <c r="AH18" s="194">
        <v>14</v>
      </c>
      <c r="AI18" s="194">
        <v>1</v>
      </c>
      <c r="AJ18" s="194">
        <v>1</v>
      </c>
      <c r="AK18" s="194">
        <v>9</v>
      </c>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row>
    <row r="19" spans="1:61" x14ac:dyDescent="0.3">
      <c r="A19" s="193" t="s">
        <v>536</v>
      </c>
      <c r="B19" s="194">
        <v>1</v>
      </c>
      <c r="C19" s="194">
        <v>1</v>
      </c>
      <c r="D19" s="194">
        <v>4</v>
      </c>
      <c r="E19" s="194">
        <v>1</v>
      </c>
      <c r="F19" s="194">
        <v>1</v>
      </c>
      <c r="G19" s="194">
        <v>8</v>
      </c>
      <c r="H19" s="194">
        <v>0.95199999999999996</v>
      </c>
      <c r="I19" s="194">
        <v>1</v>
      </c>
      <c r="J19" s="194">
        <v>8</v>
      </c>
      <c r="K19" s="194">
        <v>0.9</v>
      </c>
      <c r="L19" s="194">
        <v>0.8</v>
      </c>
      <c r="M19" s="194">
        <v>5</v>
      </c>
      <c r="N19" s="194">
        <v>0.84199999999999997</v>
      </c>
      <c r="O19" s="194">
        <v>0.85699999999999998</v>
      </c>
      <c r="P19" s="194">
        <v>7</v>
      </c>
      <c r="Q19" s="194">
        <v>0.91300000000000003</v>
      </c>
      <c r="R19" s="194">
        <v>0.85699999999999998</v>
      </c>
      <c r="S19" s="194">
        <v>7</v>
      </c>
      <c r="T19" s="194">
        <v>0.95499999999999996</v>
      </c>
      <c r="U19" s="194">
        <v>1</v>
      </c>
      <c r="V19" s="194">
        <v>9</v>
      </c>
      <c r="W19" s="194">
        <v>0.95</v>
      </c>
      <c r="X19" s="194">
        <v>1</v>
      </c>
      <c r="Y19" s="194">
        <v>6</v>
      </c>
      <c r="Z19" s="194">
        <v>0.91700000000000004</v>
      </c>
      <c r="AA19" s="194">
        <v>0.8</v>
      </c>
      <c r="AB19" s="194">
        <v>5</v>
      </c>
      <c r="AC19" s="194">
        <v>0.85699999999999998</v>
      </c>
      <c r="AD19" s="194">
        <v>1</v>
      </c>
      <c r="AE19" s="194">
        <v>1</v>
      </c>
      <c r="AF19" s="194">
        <v>1</v>
      </c>
      <c r="AG19" s="194">
        <v>1</v>
      </c>
      <c r="AH19" s="194">
        <v>1</v>
      </c>
      <c r="AI19" s="194">
        <v>1</v>
      </c>
      <c r="AJ19" s="194">
        <v>1</v>
      </c>
      <c r="AK19" s="194">
        <v>2</v>
      </c>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row>
    <row r="20" spans="1:61" x14ac:dyDescent="0.3">
      <c r="A20" s="193" t="s">
        <v>544</v>
      </c>
      <c r="B20" s="194">
        <v>0.97699999999999998</v>
      </c>
      <c r="C20" s="194">
        <v>1</v>
      </c>
      <c r="D20" s="194">
        <v>16</v>
      </c>
      <c r="E20" s="194">
        <v>0.98399999999999999</v>
      </c>
      <c r="F20" s="194">
        <v>0.96399999999999997</v>
      </c>
      <c r="G20" s="194">
        <v>28</v>
      </c>
      <c r="H20" s="194">
        <v>0.98499999999999999</v>
      </c>
      <c r="I20" s="194">
        <v>1</v>
      </c>
      <c r="J20" s="194">
        <v>19</v>
      </c>
      <c r="K20" s="194">
        <v>1</v>
      </c>
      <c r="L20" s="194">
        <v>1</v>
      </c>
      <c r="M20" s="194">
        <v>20</v>
      </c>
      <c r="N20" s="194">
        <v>0.97399999999999998</v>
      </c>
      <c r="O20" s="194">
        <v>1</v>
      </c>
      <c r="P20" s="194">
        <v>31</v>
      </c>
      <c r="Q20" s="194">
        <v>0.96399999999999997</v>
      </c>
      <c r="R20" s="194">
        <v>0.92600000000000005</v>
      </c>
      <c r="S20" s="194">
        <v>27</v>
      </c>
      <c r="T20" s="194">
        <v>0.94399999999999995</v>
      </c>
      <c r="U20" s="194">
        <v>0.96199999999999997</v>
      </c>
      <c r="V20" s="194">
        <v>26</v>
      </c>
      <c r="W20" s="194">
        <v>0.95399999999999996</v>
      </c>
      <c r="X20" s="194">
        <v>0.94699999999999995</v>
      </c>
      <c r="Y20" s="194">
        <v>19</v>
      </c>
      <c r="Z20" s="194">
        <v>0.95199999999999996</v>
      </c>
      <c r="AA20" s="194">
        <v>0.95</v>
      </c>
      <c r="AB20" s="194">
        <v>20</v>
      </c>
      <c r="AC20" s="194">
        <v>0.95699999999999996</v>
      </c>
      <c r="AD20" s="194">
        <v>0.95699999999999996</v>
      </c>
      <c r="AE20" s="194">
        <v>23</v>
      </c>
      <c r="AF20" s="194">
        <v>0.96199999999999997</v>
      </c>
      <c r="AG20" s="194">
        <v>0.96299999999999997</v>
      </c>
      <c r="AH20" s="194">
        <v>27</v>
      </c>
      <c r="AI20" s="194">
        <v>0.96399999999999997</v>
      </c>
      <c r="AJ20" s="194">
        <v>0.96599999999999997</v>
      </c>
      <c r="AK20" s="194">
        <v>29</v>
      </c>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row>
    <row r="21" spans="1:61" x14ac:dyDescent="0.3">
      <c r="A21" s="193" t="s">
        <v>480</v>
      </c>
      <c r="B21" s="194">
        <v>1</v>
      </c>
      <c r="C21" s="194">
        <v>1</v>
      </c>
      <c r="D21" s="194">
        <v>23</v>
      </c>
      <c r="E21" s="194">
        <v>1</v>
      </c>
      <c r="F21" s="194">
        <v>1</v>
      </c>
      <c r="G21" s="194">
        <v>15</v>
      </c>
      <c r="H21" s="194">
        <v>0.98</v>
      </c>
      <c r="I21" s="194">
        <v>1</v>
      </c>
      <c r="J21" s="194">
        <v>17</v>
      </c>
      <c r="K21" s="194">
        <v>0.95199999999999996</v>
      </c>
      <c r="L21" s="194">
        <v>0.94699999999999995</v>
      </c>
      <c r="M21" s="194">
        <v>19</v>
      </c>
      <c r="N21" s="194">
        <v>0.95699999999999996</v>
      </c>
      <c r="O21" s="194">
        <v>0.92600000000000005</v>
      </c>
      <c r="P21" s="194">
        <v>27</v>
      </c>
      <c r="Q21" s="194">
        <v>0.95799999999999996</v>
      </c>
      <c r="R21" s="194">
        <v>1</v>
      </c>
      <c r="S21" s="194">
        <v>24</v>
      </c>
      <c r="T21" s="194">
        <v>0.96799999999999997</v>
      </c>
      <c r="U21" s="194">
        <v>0.95199999999999996</v>
      </c>
      <c r="V21" s="194">
        <v>21</v>
      </c>
      <c r="W21" s="194">
        <v>0.96799999999999997</v>
      </c>
      <c r="X21" s="194">
        <v>0.94099999999999995</v>
      </c>
      <c r="Y21" s="194">
        <v>17</v>
      </c>
      <c r="Z21" s="194">
        <v>0.98499999999999999</v>
      </c>
      <c r="AA21" s="194">
        <v>1</v>
      </c>
      <c r="AB21" s="194">
        <v>25</v>
      </c>
      <c r="AC21" s="194">
        <v>1</v>
      </c>
      <c r="AD21" s="194">
        <v>1</v>
      </c>
      <c r="AE21" s="194">
        <v>26</v>
      </c>
      <c r="AF21" s="194">
        <v>1</v>
      </c>
      <c r="AG21" s="194">
        <v>1</v>
      </c>
      <c r="AH21" s="194">
        <v>22</v>
      </c>
      <c r="AI21" s="194">
        <v>1</v>
      </c>
      <c r="AJ21" s="194">
        <v>1</v>
      </c>
      <c r="AK21" s="194">
        <v>32</v>
      </c>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row>
    <row r="22" spans="1:61" x14ac:dyDescent="0.3">
      <c r="A22" s="193" t="s">
        <v>408</v>
      </c>
      <c r="B22" s="194">
        <v>1</v>
      </c>
      <c r="C22" s="194">
        <v>1</v>
      </c>
      <c r="D22" s="194">
        <v>8</v>
      </c>
      <c r="E22" s="194">
        <v>1</v>
      </c>
      <c r="F22" s="194">
        <v>1</v>
      </c>
      <c r="G22" s="194">
        <v>8</v>
      </c>
      <c r="H22" s="194">
        <v>1</v>
      </c>
      <c r="I22" s="194">
        <v>1</v>
      </c>
      <c r="J22" s="194">
        <v>7</v>
      </c>
      <c r="K22" s="194">
        <v>1</v>
      </c>
      <c r="L22" s="194">
        <v>1</v>
      </c>
      <c r="M22" s="194">
        <v>4</v>
      </c>
      <c r="N22" s="194">
        <v>1</v>
      </c>
      <c r="O22" s="194">
        <v>1</v>
      </c>
      <c r="P22" s="194">
        <v>12</v>
      </c>
      <c r="Q22" s="194">
        <v>1</v>
      </c>
      <c r="R22" s="194">
        <v>1</v>
      </c>
      <c r="S22" s="194">
        <v>6</v>
      </c>
      <c r="T22" s="194">
        <v>1</v>
      </c>
      <c r="U22" s="194">
        <v>1</v>
      </c>
      <c r="V22" s="194">
        <v>7</v>
      </c>
      <c r="W22" s="194">
        <v>0.92600000000000005</v>
      </c>
      <c r="X22" s="194">
        <v>1</v>
      </c>
      <c r="Y22" s="194">
        <v>6</v>
      </c>
      <c r="Z22" s="194">
        <v>0.89700000000000002</v>
      </c>
      <c r="AA22" s="194">
        <v>0.85699999999999998</v>
      </c>
      <c r="AB22" s="194">
        <v>14</v>
      </c>
      <c r="AC22" s="194">
        <v>0.86199999999999999</v>
      </c>
      <c r="AD22" s="194">
        <v>0.88900000000000001</v>
      </c>
      <c r="AE22" s="194">
        <v>9</v>
      </c>
      <c r="AF22" s="194">
        <v>0.92300000000000004</v>
      </c>
      <c r="AG22" s="194">
        <v>0.83299999999999996</v>
      </c>
      <c r="AH22" s="194">
        <v>6</v>
      </c>
      <c r="AI22" s="194">
        <v>0.94099999999999995</v>
      </c>
      <c r="AJ22" s="194">
        <v>1</v>
      </c>
      <c r="AK22" s="194">
        <v>11</v>
      </c>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row>
    <row r="23" spans="1:61" x14ac:dyDescent="0.3">
      <c r="A23" s="193" t="s">
        <v>488</v>
      </c>
      <c r="B23" s="194">
        <v>1</v>
      </c>
      <c r="C23" s="194">
        <v>1</v>
      </c>
      <c r="D23" s="194">
        <v>3</v>
      </c>
      <c r="E23" s="194">
        <v>1</v>
      </c>
      <c r="F23" s="194">
        <v>1</v>
      </c>
      <c r="G23" s="194">
        <v>8</v>
      </c>
      <c r="H23" s="194">
        <v>1</v>
      </c>
      <c r="I23" s="194">
        <v>1</v>
      </c>
      <c r="J23" s="194">
        <v>5</v>
      </c>
      <c r="K23" s="194">
        <v>1</v>
      </c>
      <c r="L23" s="194">
        <v>1</v>
      </c>
      <c r="M23" s="194">
        <v>4</v>
      </c>
      <c r="N23" s="194">
        <v>1</v>
      </c>
      <c r="O23" s="194">
        <v>1</v>
      </c>
      <c r="P23" s="194">
        <v>5</v>
      </c>
      <c r="Q23" s="194">
        <v>1</v>
      </c>
      <c r="R23" s="194">
        <v>1</v>
      </c>
      <c r="S23" s="194">
        <v>5</v>
      </c>
      <c r="T23" s="194">
        <v>1</v>
      </c>
      <c r="U23" s="194">
        <v>1</v>
      </c>
      <c r="V23" s="194">
        <v>3</v>
      </c>
      <c r="W23" s="194">
        <v>1</v>
      </c>
      <c r="X23" s="194">
        <v>1</v>
      </c>
      <c r="Y23" s="194">
        <v>7</v>
      </c>
      <c r="Z23" s="194">
        <v>1</v>
      </c>
      <c r="AA23" s="194">
        <v>1</v>
      </c>
      <c r="AB23" s="194">
        <v>2</v>
      </c>
      <c r="AC23" s="194">
        <v>1</v>
      </c>
      <c r="AD23" s="194">
        <v>1</v>
      </c>
      <c r="AE23" s="194">
        <v>12</v>
      </c>
      <c r="AF23" s="194">
        <v>1</v>
      </c>
      <c r="AG23" s="194">
        <v>1</v>
      </c>
      <c r="AH23" s="194">
        <v>7</v>
      </c>
      <c r="AI23" s="194">
        <v>1</v>
      </c>
      <c r="AJ23" s="194">
        <v>1</v>
      </c>
      <c r="AK23" s="194">
        <v>1</v>
      </c>
      <c r="AL23" s="140"/>
      <c r="AM23" s="140"/>
      <c r="AN23" s="140"/>
      <c r="AO23" s="140"/>
      <c r="AP23" s="140"/>
      <c r="AQ23" s="140"/>
      <c r="AR23" s="140"/>
      <c r="AS23" s="140"/>
      <c r="AT23" s="140"/>
      <c r="AU23" s="140"/>
      <c r="AV23" s="140"/>
      <c r="AW23" s="140"/>
      <c r="AX23" s="140"/>
      <c r="AY23" s="140"/>
      <c r="AZ23" s="140"/>
      <c r="BA23" s="140"/>
      <c r="BB23" s="140"/>
      <c r="BC23" s="140"/>
      <c r="BD23" s="140"/>
      <c r="BE23" s="140"/>
      <c r="BF23" s="140"/>
      <c r="BG23" s="140"/>
      <c r="BH23" s="140"/>
      <c r="BI23" s="140"/>
    </row>
    <row r="24" spans="1:61" x14ac:dyDescent="0.3">
      <c r="A24" s="193" t="s">
        <v>284</v>
      </c>
      <c r="B24" s="194">
        <v>1</v>
      </c>
      <c r="C24" s="194">
        <v>1</v>
      </c>
      <c r="D24" s="194">
        <v>20</v>
      </c>
      <c r="E24" s="194">
        <v>1</v>
      </c>
      <c r="F24" s="194">
        <v>1</v>
      </c>
      <c r="G24" s="194">
        <v>15</v>
      </c>
      <c r="H24" s="194">
        <v>1</v>
      </c>
      <c r="I24" s="194">
        <v>1</v>
      </c>
      <c r="J24" s="194">
        <v>12</v>
      </c>
      <c r="K24" s="194">
        <v>1</v>
      </c>
      <c r="L24" s="194">
        <v>1</v>
      </c>
      <c r="M24" s="194">
        <v>15</v>
      </c>
      <c r="N24" s="194">
        <v>0.98</v>
      </c>
      <c r="O24" s="194">
        <v>1</v>
      </c>
      <c r="P24" s="194">
        <v>17</v>
      </c>
      <c r="Q24" s="194">
        <v>0.98</v>
      </c>
      <c r="R24" s="194">
        <v>0.94399999999999995</v>
      </c>
      <c r="S24" s="194">
        <v>18</v>
      </c>
      <c r="T24" s="194">
        <v>0.96</v>
      </c>
      <c r="U24" s="194">
        <v>1</v>
      </c>
      <c r="V24" s="194">
        <v>16</v>
      </c>
      <c r="W24" s="194">
        <v>0.98</v>
      </c>
      <c r="X24" s="194">
        <v>0.93799999999999994</v>
      </c>
      <c r="Y24" s="194">
        <v>16</v>
      </c>
      <c r="Z24" s="194">
        <v>0.93700000000000006</v>
      </c>
      <c r="AA24" s="194">
        <v>1</v>
      </c>
      <c r="AB24" s="194">
        <v>18</v>
      </c>
      <c r="AC24" s="194">
        <v>0.92200000000000004</v>
      </c>
      <c r="AD24" s="194">
        <v>0.89700000000000002</v>
      </c>
      <c r="AE24" s="194">
        <v>29</v>
      </c>
      <c r="AF24" s="194">
        <v>0.874</v>
      </c>
      <c r="AG24" s="194">
        <v>0.9</v>
      </c>
      <c r="AH24" s="194">
        <v>30</v>
      </c>
      <c r="AI24" s="194">
        <v>0.86199999999999999</v>
      </c>
      <c r="AJ24" s="194">
        <v>0.82099999999999995</v>
      </c>
      <c r="AK24" s="194">
        <v>28</v>
      </c>
      <c r="AL24" s="140"/>
      <c r="AM24" s="140"/>
      <c r="AN24" s="140"/>
      <c r="AO24" s="140"/>
      <c r="AP24" s="140"/>
      <c r="AQ24" s="140"/>
      <c r="AR24" s="140"/>
      <c r="AS24" s="140"/>
      <c r="AT24" s="140"/>
      <c r="AU24" s="140"/>
      <c r="AV24" s="140"/>
      <c r="AW24" s="140"/>
      <c r="AX24" s="140"/>
      <c r="AY24" s="140"/>
      <c r="AZ24" s="140"/>
      <c r="BA24" s="140"/>
      <c r="BB24" s="140"/>
      <c r="BC24" s="140"/>
      <c r="BD24" s="140"/>
      <c r="BE24" s="140"/>
      <c r="BF24" s="140"/>
      <c r="BG24" s="140"/>
      <c r="BH24" s="140"/>
      <c r="BI24" s="140"/>
    </row>
    <row r="25" spans="1:61" x14ac:dyDescent="0.3">
      <c r="A25" s="193" t="s">
        <v>554</v>
      </c>
      <c r="B25" s="194">
        <v>0.92100000000000004</v>
      </c>
      <c r="C25" s="194">
        <v>1</v>
      </c>
      <c r="D25" s="194">
        <v>27</v>
      </c>
      <c r="E25" s="194">
        <v>0.85299999999999998</v>
      </c>
      <c r="F25" s="194">
        <v>0.86099999999999999</v>
      </c>
      <c r="G25" s="194">
        <v>36</v>
      </c>
      <c r="H25" s="194">
        <v>0.83799999999999997</v>
      </c>
      <c r="I25" s="194">
        <v>0.74399999999999999</v>
      </c>
      <c r="J25" s="194">
        <v>39</v>
      </c>
      <c r="K25" s="194">
        <v>0.83699999999999997</v>
      </c>
      <c r="L25" s="194">
        <v>0.90500000000000003</v>
      </c>
      <c r="M25" s="194">
        <v>42</v>
      </c>
      <c r="N25" s="194">
        <v>0.88800000000000001</v>
      </c>
      <c r="O25" s="194">
        <v>0.88200000000000001</v>
      </c>
      <c r="P25" s="194">
        <v>17</v>
      </c>
      <c r="Q25" s="194">
        <v>0.82499999999999996</v>
      </c>
      <c r="R25" s="194">
        <v>0.875</v>
      </c>
      <c r="S25" s="194">
        <v>48</v>
      </c>
      <c r="T25" s="194">
        <v>0.82299999999999995</v>
      </c>
      <c r="U25" s="194">
        <v>0.73699999999999999</v>
      </c>
      <c r="V25" s="194">
        <v>38</v>
      </c>
      <c r="W25" s="194">
        <v>0.80800000000000005</v>
      </c>
      <c r="X25" s="194">
        <v>0.84199999999999997</v>
      </c>
      <c r="Y25" s="194">
        <v>38</v>
      </c>
      <c r="Z25" s="194">
        <v>0.80700000000000005</v>
      </c>
      <c r="AA25" s="194">
        <v>0.83299999999999996</v>
      </c>
      <c r="AB25" s="194">
        <v>54</v>
      </c>
      <c r="AC25" s="194">
        <v>0.78300000000000003</v>
      </c>
      <c r="AD25" s="194">
        <v>0.75</v>
      </c>
      <c r="AE25" s="194">
        <v>48</v>
      </c>
      <c r="AF25" s="194">
        <v>0.75700000000000001</v>
      </c>
      <c r="AG25" s="194">
        <v>0.76</v>
      </c>
      <c r="AH25" s="194">
        <v>50</v>
      </c>
      <c r="AI25" s="194">
        <v>0.76100000000000001</v>
      </c>
      <c r="AJ25" s="194">
        <v>0.76200000000000001</v>
      </c>
      <c r="AK25" s="194">
        <v>42</v>
      </c>
      <c r="AL25" s="140"/>
      <c r="AM25" s="140"/>
      <c r="AN25" s="140"/>
      <c r="AO25" s="140"/>
      <c r="AP25" s="140"/>
      <c r="AQ25" s="140"/>
      <c r="AR25" s="140"/>
      <c r="AS25" s="140"/>
      <c r="AT25" s="140"/>
      <c r="AU25" s="140"/>
      <c r="AV25" s="140"/>
      <c r="AW25" s="140"/>
      <c r="AX25" s="140"/>
      <c r="AY25" s="140"/>
      <c r="AZ25" s="140"/>
      <c r="BA25" s="140"/>
      <c r="BB25" s="140"/>
      <c r="BC25" s="140"/>
      <c r="BD25" s="140"/>
      <c r="BE25" s="140"/>
      <c r="BF25" s="140"/>
      <c r="BG25" s="140"/>
      <c r="BH25" s="140"/>
      <c r="BI25" s="140"/>
    </row>
    <row r="26" spans="1:61" x14ac:dyDescent="0.3">
      <c r="A26" s="193" t="s">
        <v>369</v>
      </c>
      <c r="B26" s="194">
        <v>1</v>
      </c>
      <c r="C26" s="194">
        <v>1</v>
      </c>
      <c r="D26" s="194">
        <v>10</v>
      </c>
      <c r="E26" s="194">
        <v>1</v>
      </c>
      <c r="F26" s="194">
        <v>1</v>
      </c>
      <c r="G26" s="194">
        <v>9</v>
      </c>
      <c r="H26" s="194">
        <v>1</v>
      </c>
      <c r="I26" s="194">
        <v>1</v>
      </c>
      <c r="J26" s="194">
        <v>10</v>
      </c>
      <c r="K26" s="194">
        <v>1</v>
      </c>
      <c r="L26" s="194">
        <v>1</v>
      </c>
      <c r="M26" s="194">
        <v>5</v>
      </c>
      <c r="N26" s="194">
        <v>1</v>
      </c>
      <c r="O26" s="194">
        <v>1</v>
      </c>
      <c r="P26" s="194">
        <v>13</v>
      </c>
      <c r="Q26" s="194">
        <v>0.96299999999999997</v>
      </c>
      <c r="R26" s="194">
        <v>1</v>
      </c>
      <c r="S26" s="194">
        <v>8</v>
      </c>
      <c r="T26" s="194">
        <v>0.96299999999999997</v>
      </c>
      <c r="U26" s="194">
        <v>0.83299999999999996</v>
      </c>
      <c r="V26" s="194">
        <v>6</v>
      </c>
      <c r="W26" s="194">
        <v>0.96199999999999997</v>
      </c>
      <c r="X26" s="194">
        <v>1</v>
      </c>
      <c r="Y26" s="194">
        <v>13</v>
      </c>
      <c r="Z26" s="194">
        <v>1</v>
      </c>
      <c r="AA26" s="194">
        <v>1</v>
      </c>
      <c r="AB26" s="194">
        <v>7</v>
      </c>
      <c r="AC26" s="194">
        <v>0.91300000000000003</v>
      </c>
      <c r="AD26" s="194">
        <v>1</v>
      </c>
      <c r="AE26" s="194">
        <v>10</v>
      </c>
      <c r="AF26" s="194">
        <v>0.92300000000000004</v>
      </c>
      <c r="AG26" s="194">
        <v>0.66700000000000004</v>
      </c>
      <c r="AH26" s="194">
        <v>6</v>
      </c>
      <c r="AI26" s="194">
        <v>0.875</v>
      </c>
      <c r="AJ26" s="194">
        <v>1</v>
      </c>
      <c r="AK26" s="194">
        <v>10</v>
      </c>
      <c r="AL26" s="140"/>
      <c r="AM26" s="140"/>
      <c r="AN26" s="140"/>
      <c r="AO26" s="140"/>
      <c r="AP26" s="140"/>
      <c r="AQ26" s="140"/>
      <c r="AR26" s="140"/>
      <c r="AS26" s="140"/>
      <c r="AT26" s="140"/>
      <c r="AU26" s="140"/>
      <c r="AV26" s="140"/>
      <c r="AW26" s="140"/>
      <c r="AX26" s="140"/>
      <c r="AY26" s="140"/>
      <c r="AZ26" s="140"/>
      <c r="BA26" s="140"/>
      <c r="BB26" s="140"/>
      <c r="BC26" s="140"/>
      <c r="BD26" s="140"/>
      <c r="BE26" s="140"/>
      <c r="BF26" s="140"/>
      <c r="BG26" s="140"/>
      <c r="BH26" s="140"/>
      <c r="BI26" s="140"/>
    </row>
    <row r="27" spans="1:61" x14ac:dyDescent="0.3">
      <c r="A27" s="193" t="s">
        <v>262</v>
      </c>
      <c r="B27" s="194">
        <v>1</v>
      </c>
      <c r="C27" s="194">
        <v>1</v>
      </c>
      <c r="D27" s="194">
        <v>7</v>
      </c>
      <c r="E27" s="194">
        <v>1</v>
      </c>
      <c r="F27" s="194">
        <v>1</v>
      </c>
      <c r="G27" s="194">
        <v>13</v>
      </c>
      <c r="H27" s="194">
        <v>1</v>
      </c>
      <c r="I27" s="194">
        <v>1</v>
      </c>
      <c r="J27" s="194">
        <v>3</v>
      </c>
      <c r="K27" s="194">
        <v>0.95199999999999996</v>
      </c>
      <c r="L27" s="194">
        <v>1</v>
      </c>
      <c r="M27" s="194">
        <v>9</v>
      </c>
      <c r="N27" s="194">
        <v>0.92900000000000005</v>
      </c>
      <c r="O27" s="194">
        <v>0.88900000000000001</v>
      </c>
      <c r="P27" s="194">
        <v>9</v>
      </c>
      <c r="Q27" s="194">
        <v>0.93500000000000005</v>
      </c>
      <c r="R27" s="194">
        <v>0.9</v>
      </c>
      <c r="S27" s="194">
        <v>10</v>
      </c>
      <c r="T27" s="194">
        <v>0.96599999999999997</v>
      </c>
      <c r="U27" s="194">
        <v>1</v>
      </c>
      <c r="V27" s="194">
        <v>12</v>
      </c>
      <c r="W27" s="194">
        <v>1</v>
      </c>
      <c r="X27" s="194">
        <v>1</v>
      </c>
      <c r="Y27" s="194">
        <v>7</v>
      </c>
      <c r="Z27" s="194">
        <v>1</v>
      </c>
      <c r="AA27" s="194">
        <v>1</v>
      </c>
      <c r="AB27" s="194">
        <v>14</v>
      </c>
      <c r="AC27" s="194">
        <v>0.97399999999999998</v>
      </c>
      <c r="AD27" s="194">
        <v>1</v>
      </c>
      <c r="AE27" s="194">
        <v>10</v>
      </c>
      <c r="AF27" s="194">
        <v>0.96599999999999997</v>
      </c>
      <c r="AG27" s="194">
        <v>0.92900000000000005</v>
      </c>
      <c r="AH27" s="194">
        <v>14</v>
      </c>
      <c r="AI27" s="194">
        <v>0.94699999999999995</v>
      </c>
      <c r="AJ27" s="194">
        <v>1</v>
      </c>
      <c r="AK27" s="194">
        <v>5</v>
      </c>
      <c r="AL27" s="140"/>
      <c r="AM27" s="140"/>
      <c r="AN27" s="140"/>
      <c r="AO27" s="140"/>
      <c r="AP27" s="140"/>
      <c r="AQ27" s="140"/>
      <c r="AR27" s="140"/>
      <c r="AS27" s="140"/>
      <c r="AT27" s="140"/>
      <c r="AU27" s="140"/>
      <c r="AV27" s="140"/>
      <c r="AW27" s="140"/>
      <c r="AX27" s="140"/>
      <c r="AY27" s="140"/>
      <c r="AZ27" s="140"/>
      <c r="BA27" s="140"/>
      <c r="BB27" s="140"/>
      <c r="BC27" s="140"/>
      <c r="BD27" s="140"/>
      <c r="BE27" s="140"/>
      <c r="BF27" s="140"/>
      <c r="BG27" s="140"/>
      <c r="BH27" s="140"/>
      <c r="BI27" s="140"/>
    </row>
    <row r="28" spans="1:61" x14ac:dyDescent="0.3">
      <c r="A28" s="193" t="s">
        <v>500</v>
      </c>
      <c r="B28" s="194">
        <v>1</v>
      </c>
      <c r="C28" s="194">
        <v>1</v>
      </c>
      <c r="D28" s="194">
        <v>5</v>
      </c>
      <c r="E28" s="194">
        <v>1</v>
      </c>
      <c r="F28" s="194">
        <v>1</v>
      </c>
      <c r="G28" s="194">
        <v>7</v>
      </c>
      <c r="H28" s="194">
        <v>1</v>
      </c>
      <c r="I28" s="194">
        <v>1</v>
      </c>
      <c r="J28" s="194">
        <v>5</v>
      </c>
      <c r="K28" s="194">
        <v>1</v>
      </c>
      <c r="L28" s="194">
        <v>1</v>
      </c>
      <c r="M28" s="194">
        <v>2</v>
      </c>
      <c r="N28" s="194">
        <v>1</v>
      </c>
      <c r="O28" s="194">
        <v>1</v>
      </c>
      <c r="P28" s="194">
        <v>2</v>
      </c>
      <c r="Q28" s="194">
        <v>1</v>
      </c>
      <c r="R28" s="194">
        <v>1</v>
      </c>
      <c r="S28" s="194">
        <v>4</v>
      </c>
      <c r="T28" s="194">
        <v>1</v>
      </c>
      <c r="U28" s="194">
        <v>1</v>
      </c>
      <c r="V28" s="194">
        <v>4</v>
      </c>
      <c r="W28" s="194">
        <v>1</v>
      </c>
      <c r="X28" s="194">
        <v>1</v>
      </c>
      <c r="Y28" s="194">
        <v>12</v>
      </c>
      <c r="Z28" s="194">
        <v>1</v>
      </c>
      <c r="AA28" s="194">
        <v>1</v>
      </c>
      <c r="AB28" s="194">
        <v>8</v>
      </c>
      <c r="AC28" s="194">
        <v>1</v>
      </c>
      <c r="AD28" s="194">
        <v>1</v>
      </c>
      <c r="AE28" s="194">
        <v>5</v>
      </c>
      <c r="AF28" s="194">
        <v>1</v>
      </c>
      <c r="AG28" s="194">
        <v>1</v>
      </c>
      <c r="AH28" s="194">
        <v>4</v>
      </c>
      <c r="AI28" s="194">
        <v>1</v>
      </c>
      <c r="AJ28" s="194">
        <v>1</v>
      </c>
      <c r="AK28" s="194">
        <v>4</v>
      </c>
      <c r="AL28" s="140"/>
      <c r="AM28" s="140"/>
      <c r="AN28" s="140"/>
      <c r="AO28" s="140"/>
      <c r="AP28" s="140"/>
      <c r="AQ28" s="140"/>
      <c r="AR28" s="140"/>
      <c r="AS28" s="140"/>
      <c r="AT28" s="140"/>
      <c r="AU28" s="140"/>
      <c r="AV28" s="140"/>
      <c r="AW28" s="140"/>
      <c r="AX28" s="140"/>
      <c r="AY28" s="140"/>
      <c r="AZ28" s="140"/>
      <c r="BA28" s="140"/>
      <c r="BB28" s="140"/>
      <c r="BC28" s="140"/>
      <c r="BD28" s="140"/>
      <c r="BE28" s="140"/>
      <c r="BF28" s="140"/>
      <c r="BG28" s="140"/>
      <c r="BH28" s="140"/>
      <c r="BI28" s="140"/>
    </row>
    <row r="29" spans="1:61" x14ac:dyDescent="0.3">
      <c r="A29" s="193" t="s">
        <v>454</v>
      </c>
      <c r="B29" s="194">
        <v>0.95499999999999996</v>
      </c>
      <c r="C29" s="194">
        <v>0.875</v>
      </c>
      <c r="D29" s="194">
        <v>16</v>
      </c>
      <c r="E29" s="194">
        <v>0.94299999999999995</v>
      </c>
      <c r="F29" s="194">
        <v>1</v>
      </c>
      <c r="G29" s="194">
        <v>28</v>
      </c>
      <c r="H29" s="194">
        <v>0.94799999999999995</v>
      </c>
      <c r="I29" s="194">
        <v>0.92300000000000004</v>
      </c>
      <c r="J29" s="194">
        <v>26</v>
      </c>
      <c r="K29" s="194">
        <v>0.94</v>
      </c>
      <c r="L29" s="194">
        <v>0.91300000000000003</v>
      </c>
      <c r="M29" s="194">
        <v>23</v>
      </c>
      <c r="N29" s="194">
        <v>0.93400000000000005</v>
      </c>
      <c r="O29" s="194">
        <v>1</v>
      </c>
      <c r="P29" s="194">
        <v>18</v>
      </c>
      <c r="Q29" s="194">
        <v>0.93400000000000005</v>
      </c>
      <c r="R29" s="194">
        <v>0.9</v>
      </c>
      <c r="S29" s="194">
        <v>20</v>
      </c>
      <c r="T29" s="194">
        <v>0.871</v>
      </c>
      <c r="U29" s="194">
        <v>0.91300000000000003</v>
      </c>
      <c r="V29" s="194">
        <v>23</v>
      </c>
      <c r="W29" s="194">
        <v>0.88500000000000001</v>
      </c>
      <c r="X29" s="194">
        <v>0.81499999999999995</v>
      </c>
      <c r="Y29" s="194">
        <v>27</v>
      </c>
      <c r="Z29" s="194">
        <v>0.84199999999999997</v>
      </c>
      <c r="AA29" s="194">
        <v>1</v>
      </c>
      <c r="AB29" s="194">
        <v>11</v>
      </c>
      <c r="AC29" s="194">
        <v>0.91200000000000003</v>
      </c>
      <c r="AD29" s="194">
        <v>0.78900000000000003</v>
      </c>
      <c r="AE29" s="194">
        <v>19</v>
      </c>
      <c r="AF29" s="194">
        <v>0.89</v>
      </c>
      <c r="AG29" s="194">
        <v>0.96299999999999997</v>
      </c>
      <c r="AH29" s="194">
        <v>27</v>
      </c>
      <c r="AI29" s="194">
        <v>0.92100000000000004</v>
      </c>
      <c r="AJ29" s="194">
        <v>0.88900000000000001</v>
      </c>
      <c r="AK29" s="194">
        <v>36</v>
      </c>
      <c r="AL29" s="140"/>
      <c r="AM29" s="140"/>
      <c r="AN29" s="140"/>
      <c r="AO29" s="140"/>
      <c r="AP29" s="140"/>
      <c r="AQ29" s="140"/>
      <c r="AR29" s="140"/>
      <c r="AS29" s="140"/>
      <c r="AT29" s="140"/>
      <c r="AU29" s="140"/>
      <c r="AV29" s="140"/>
      <c r="AW29" s="140"/>
      <c r="AX29" s="140"/>
      <c r="AY29" s="140"/>
      <c r="AZ29" s="140"/>
      <c r="BA29" s="140"/>
      <c r="BB29" s="140"/>
      <c r="BC29" s="140"/>
      <c r="BD29" s="140"/>
      <c r="BE29" s="140"/>
      <c r="BF29" s="140"/>
      <c r="BG29" s="140"/>
      <c r="BH29" s="140"/>
      <c r="BI29" s="140"/>
    </row>
    <row r="30" spans="1:61" x14ac:dyDescent="0.3">
      <c r="A30" s="193" t="s">
        <v>412</v>
      </c>
      <c r="B30" s="194">
        <v>0.93300000000000005</v>
      </c>
      <c r="C30" s="194">
        <v>0.9</v>
      </c>
      <c r="D30" s="194">
        <v>10</v>
      </c>
      <c r="E30" s="194">
        <v>0.93300000000000005</v>
      </c>
      <c r="F30" s="194">
        <v>1</v>
      </c>
      <c r="G30" s="194">
        <v>5</v>
      </c>
      <c r="H30" s="194">
        <v>1</v>
      </c>
      <c r="I30" s="194"/>
      <c r="J30" s="194"/>
      <c r="K30" s="194">
        <v>0.88900000000000001</v>
      </c>
      <c r="L30" s="194">
        <v>1</v>
      </c>
      <c r="M30" s="194">
        <v>2</v>
      </c>
      <c r="N30" s="194">
        <v>0.9</v>
      </c>
      <c r="O30" s="194">
        <v>0.85699999999999998</v>
      </c>
      <c r="P30" s="194">
        <v>7</v>
      </c>
      <c r="Q30" s="194">
        <v>0.90900000000000003</v>
      </c>
      <c r="R30" s="194">
        <v>1</v>
      </c>
      <c r="S30" s="194">
        <v>1</v>
      </c>
      <c r="T30" s="194">
        <v>1</v>
      </c>
      <c r="U30" s="194">
        <v>1</v>
      </c>
      <c r="V30" s="194">
        <v>3</v>
      </c>
      <c r="W30" s="194">
        <v>0.84599999999999997</v>
      </c>
      <c r="X30" s="194">
        <v>1</v>
      </c>
      <c r="Y30" s="194">
        <v>6</v>
      </c>
      <c r="Z30" s="194">
        <v>0.83299999999999996</v>
      </c>
      <c r="AA30" s="194">
        <v>0.5</v>
      </c>
      <c r="AB30" s="194">
        <v>4</v>
      </c>
      <c r="AC30" s="194">
        <v>0.72699999999999998</v>
      </c>
      <c r="AD30" s="194">
        <v>1</v>
      </c>
      <c r="AE30" s="194">
        <v>2</v>
      </c>
      <c r="AF30" s="194">
        <v>0.89500000000000002</v>
      </c>
      <c r="AG30" s="194">
        <v>0.8</v>
      </c>
      <c r="AH30" s="194">
        <v>5</v>
      </c>
      <c r="AI30" s="194">
        <v>0.88200000000000001</v>
      </c>
      <c r="AJ30" s="194">
        <v>0.91700000000000004</v>
      </c>
      <c r="AK30" s="194">
        <v>12</v>
      </c>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row>
    <row r="31" spans="1:61" x14ac:dyDescent="0.3">
      <c r="A31" s="193" t="s">
        <v>346</v>
      </c>
      <c r="B31" s="194">
        <v>0.95899999999999996</v>
      </c>
      <c r="C31" s="194">
        <v>0.97399999999999998</v>
      </c>
      <c r="D31" s="194">
        <v>38</v>
      </c>
      <c r="E31" s="194">
        <v>0.95299999999999996</v>
      </c>
      <c r="F31" s="194">
        <v>0.94399999999999995</v>
      </c>
      <c r="G31" s="194">
        <v>36</v>
      </c>
      <c r="H31" s="194">
        <v>0.94299999999999995</v>
      </c>
      <c r="I31" s="194">
        <v>0.93799999999999994</v>
      </c>
      <c r="J31" s="194">
        <v>32</v>
      </c>
      <c r="K31" s="194">
        <v>0.93799999999999994</v>
      </c>
      <c r="L31" s="194">
        <v>0.94599999999999995</v>
      </c>
      <c r="M31" s="194">
        <v>37</v>
      </c>
      <c r="N31" s="194">
        <v>0.91800000000000004</v>
      </c>
      <c r="O31" s="194">
        <v>0.93200000000000005</v>
      </c>
      <c r="P31" s="194">
        <v>44</v>
      </c>
      <c r="Q31" s="194">
        <v>0.89800000000000002</v>
      </c>
      <c r="R31" s="194">
        <v>0.878</v>
      </c>
      <c r="S31" s="194">
        <v>41</v>
      </c>
      <c r="T31" s="194">
        <v>0.91400000000000003</v>
      </c>
      <c r="U31" s="194">
        <v>0.879</v>
      </c>
      <c r="V31" s="194">
        <v>33</v>
      </c>
      <c r="W31" s="194">
        <v>0.89900000000000002</v>
      </c>
      <c r="X31" s="194">
        <v>0.97599999999999998</v>
      </c>
      <c r="Y31" s="194">
        <v>42</v>
      </c>
      <c r="Z31" s="194">
        <v>0.90100000000000002</v>
      </c>
      <c r="AA31" s="194">
        <v>0.85199999999999998</v>
      </c>
      <c r="AB31" s="194">
        <v>54</v>
      </c>
      <c r="AC31" s="194">
        <v>0.90500000000000003</v>
      </c>
      <c r="AD31" s="194">
        <v>0.89100000000000001</v>
      </c>
      <c r="AE31" s="194">
        <v>46</v>
      </c>
      <c r="AF31" s="194">
        <v>0.92800000000000005</v>
      </c>
      <c r="AG31" s="194">
        <v>0.96599999999999997</v>
      </c>
      <c r="AH31" s="194">
        <v>58</v>
      </c>
      <c r="AI31" s="194">
        <v>0.94399999999999995</v>
      </c>
      <c r="AJ31" s="194">
        <v>0.91800000000000004</v>
      </c>
      <c r="AK31" s="194">
        <v>49</v>
      </c>
      <c r="AL31" s="140"/>
      <c r="AM31" s="140"/>
      <c r="AN31" s="140"/>
      <c r="AO31" s="140"/>
      <c r="AP31" s="140"/>
      <c r="AQ31" s="140"/>
      <c r="AR31" s="140"/>
      <c r="AS31" s="140"/>
      <c r="AT31" s="140"/>
      <c r="AU31" s="140"/>
      <c r="AV31" s="140"/>
      <c r="AW31" s="140"/>
      <c r="AX31" s="140"/>
      <c r="AY31" s="140"/>
      <c r="AZ31" s="140"/>
      <c r="BA31" s="140"/>
      <c r="BB31" s="140"/>
      <c r="BC31" s="140"/>
      <c r="BD31" s="140"/>
      <c r="BE31" s="140"/>
      <c r="BF31" s="140"/>
      <c r="BG31" s="140"/>
      <c r="BH31" s="140"/>
      <c r="BI31" s="140"/>
    </row>
    <row r="32" spans="1:61" x14ac:dyDescent="0.3">
      <c r="A32" s="193" t="s">
        <v>352</v>
      </c>
      <c r="B32" s="194">
        <v>0.92100000000000004</v>
      </c>
      <c r="C32" s="194">
        <v>0.96399999999999997</v>
      </c>
      <c r="D32" s="194">
        <v>56</v>
      </c>
      <c r="E32" s="194">
        <v>0.92700000000000005</v>
      </c>
      <c r="F32" s="194">
        <v>0.879</v>
      </c>
      <c r="G32" s="194">
        <v>58</v>
      </c>
      <c r="H32" s="194">
        <v>0.91300000000000003</v>
      </c>
      <c r="I32" s="194">
        <v>0.94</v>
      </c>
      <c r="J32" s="194">
        <v>50</v>
      </c>
      <c r="K32" s="194">
        <v>0.92</v>
      </c>
      <c r="L32" s="194">
        <v>0.92300000000000004</v>
      </c>
      <c r="M32" s="194">
        <v>52</v>
      </c>
      <c r="N32" s="194">
        <v>0.92800000000000005</v>
      </c>
      <c r="O32" s="194">
        <v>0.89600000000000002</v>
      </c>
      <c r="P32" s="194">
        <v>48</v>
      </c>
      <c r="Q32" s="194">
        <v>0.92700000000000005</v>
      </c>
      <c r="R32" s="194">
        <v>0.97399999999999998</v>
      </c>
      <c r="S32" s="194">
        <v>39</v>
      </c>
      <c r="T32" s="194">
        <v>0.94</v>
      </c>
      <c r="U32" s="194">
        <v>0.91900000000000004</v>
      </c>
      <c r="V32" s="194">
        <v>37</v>
      </c>
      <c r="W32" s="194">
        <v>0.91700000000000004</v>
      </c>
      <c r="X32" s="194">
        <v>0.92500000000000004</v>
      </c>
      <c r="Y32" s="194">
        <v>40</v>
      </c>
      <c r="Z32" s="194">
        <v>0.93500000000000005</v>
      </c>
      <c r="AA32" s="194">
        <v>0.90900000000000003</v>
      </c>
      <c r="AB32" s="194">
        <v>44</v>
      </c>
      <c r="AC32" s="194">
        <v>0.94299999999999995</v>
      </c>
      <c r="AD32" s="194">
        <v>0.96399999999999997</v>
      </c>
      <c r="AE32" s="194">
        <v>55</v>
      </c>
      <c r="AF32" s="194">
        <v>0.94899999999999995</v>
      </c>
      <c r="AG32" s="194">
        <v>0.95099999999999996</v>
      </c>
      <c r="AH32" s="194">
        <v>41</v>
      </c>
      <c r="AI32" s="194">
        <v>0.94099999999999995</v>
      </c>
      <c r="AJ32" s="194">
        <v>0.93300000000000005</v>
      </c>
      <c r="AK32" s="194">
        <v>60</v>
      </c>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row>
    <row r="33" spans="1:61" x14ac:dyDescent="0.3">
      <c r="A33" s="193" t="s">
        <v>446</v>
      </c>
      <c r="B33" s="194">
        <v>1</v>
      </c>
      <c r="C33" s="194">
        <v>1</v>
      </c>
      <c r="D33" s="194">
        <v>29</v>
      </c>
      <c r="E33" s="194">
        <v>1</v>
      </c>
      <c r="F33" s="194">
        <v>1</v>
      </c>
      <c r="G33" s="194">
        <v>25</v>
      </c>
      <c r="H33" s="194">
        <v>1</v>
      </c>
      <c r="I33" s="194">
        <v>1</v>
      </c>
      <c r="J33" s="194">
        <v>21</v>
      </c>
      <c r="K33" s="194">
        <v>1</v>
      </c>
      <c r="L33" s="194">
        <v>1</v>
      </c>
      <c r="M33" s="194">
        <v>19</v>
      </c>
      <c r="N33" s="194">
        <v>1</v>
      </c>
      <c r="O33" s="194">
        <v>1</v>
      </c>
      <c r="P33" s="194">
        <v>26</v>
      </c>
      <c r="Q33" s="194">
        <v>1</v>
      </c>
      <c r="R33" s="194">
        <v>1</v>
      </c>
      <c r="S33" s="194">
        <v>24</v>
      </c>
      <c r="T33" s="194">
        <v>1</v>
      </c>
      <c r="U33" s="194">
        <v>1</v>
      </c>
      <c r="V33" s="194">
        <v>27</v>
      </c>
      <c r="W33" s="194">
        <v>1</v>
      </c>
      <c r="X33" s="194">
        <v>1</v>
      </c>
      <c r="Y33" s="194">
        <v>30</v>
      </c>
      <c r="Z33" s="194">
        <v>1</v>
      </c>
      <c r="AA33" s="194">
        <v>1</v>
      </c>
      <c r="AB33" s="194">
        <v>23</v>
      </c>
      <c r="AC33" s="194">
        <v>1</v>
      </c>
      <c r="AD33" s="194">
        <v>1</v>
      </c>
      <c r="AE33" s="194">
        <v>26</v>
      </c>
      <c r="AF33" s="194">
        <v>1</v>
      </c>
      <c r="AG33" s="194">
        <v>1</v>
      </c>
      <c r="AH33" s="194">
        <v>27</v>
      </c>
      <c r="AI33" s="194">
        <v>1</v>
      </c>
      <c r="AJ33" s="194">
        <v>1</v>
      </c>
      <c r="AK33" s="194">
        <v>33</v>
      </c>
      <c r="AL33" s="140"/>
      <c r="AM33" s="140"/>
      <c r="AN33" s="140"/>
      <c r="AO33" s="140"/>
      <c r="AP33" s="140"/>
      <c r="AQ33" s="140"/>
      <c r="AR33" s="140"/>
      <c r="AS33" s="140"/>
      <c r="AT33" s="140"/>
      <c r="AU33" s="140"/>
      <c r="AV33" s="140"/>
      <c r="AW33" s="140"/>
      <c r="AX33" s="140"/>
      <c r="AY33" s="140"/>
      <c r="AZ33" s="140"/>
      <c r="BA33" s="140"/>
      <c r="BB33" s="140"/>
      <c r="BC33" s="140"/>
      <c r="BD33" s="140"/>
      <c r="BE33" s="140"/>
      <c r="BF33" s="140"/>
      <c r="BG33" s="140"/>
      <c r="BH33" s="140"/>
      <c r="BI33" s="140"/>
    </row>
    <row r="34" spans="1:61" x14ac:dyDescent="0.3">
      <c r="A34" s="193" t="s">
        <v>396</v>
      </c>
      <c r="B34" s="194">
        <v>1</v>
      </c>
      <c r="C34" s="194">
        <v>1</v>
      </c>
      <c r="D34" s="194">
        <v>28</v>
      </c>
      <c r="E34" s="194">
        <v>1</v>
      </c>
      <c r="F34" s="194">
        <v>1</v>
      </c>
      <c r="G34" s="194">
        <v>20</v>
      </c>
      <c r="H34" s="194">
        <v>1</v>
      </c>
      <c r="I34" s="194">
        <v>1</v>
      </c>
      <c r="J34" s="194">
        <v>39</v>
      </c>
      <c r="K34" s="194">
        <v>0.97799999999999998</v>
      </c>
      <c r="L34" s="194">
        <v>1</v>
      </c>
      <c r="M34" s="194">
        <v>25</v>
      </c>
      <c r="N34" s="194">
        <v>0.97299999999999998</v>
      </c>
      <c r="O34" s="194">
        <v>0.92300000000000004</v>
      </c>
      <c r="P34" s="194">
        <v>26</v>
      </c>
      <c r="Q34" s="194">
        <v>0.96</v>
      </c>
      <c r="R34" s="194">
        <v>1</v>
      </c>
      <c r="S34" s="194">
        <v>23</v>
      </c>
      <c r="T34" s="194">
        <v>0.96899999999999997</v>
      </c>
      <c r="U34" s="194">
        <v>0.96199999999999997</v>
      </c>
      <c r="V34" s="194">
        <v>26</v>
      </c>
      <c r="W34" s="194">
        <v>0.96299999999999997</v>
      </c>
      <c r="X34" s="194">
        <v>0.95799999999999996</v>
      </c>
      <c r="Y34" s="194">
        <v>48</v>
      </c>
      <c r="Z34" s="194">
        <v>0.96599999999999997</v>
      </c>
      <c r="AA34" s="194">
        <v>0.97</v>
      </c>
      <c r="AB34" s="194">
        <v>33</v>
      </c>
      <c r="AC34" s="194">
        <v>0.98</v>
      </c>
      <c r="AD34" s="194">
        <v>0.97199999999999998</v>
      </c>
      <c r="AE34" s="194">
        <v>36</v>
      </c>
      <c r="AF34" s="194">
        <v>0.98099999999999998</v>
      </c>
      <c r="AG34" s="194">
        <v>1</v>
      </c>
      <c r="AH34" s="194">
        <v>30</v>
      </c>
      <c r="AI34" s="194">
        <v>0.98499999999999999</v>
      </c>
      <c r="AJ34" s="194">
        <v>0.97399999999999998</v>
      </c>
      <c r="AK34" s="194">
        <v>38</v>
      </c>
      <c r="AL34" s="140"/>
      <c r="AM34" s="140"/>
      <c r="AN34" s="140"/>
      <c r="AO34" s="140"/>
      <c r="AP34" s="140"/>
      <c r="AQ34" s="140"/>
      <c r="AR34" s="140"/>
      <c r="AS34" s="140"/>
      <c r="AT34" s="140"/>
      <c r="AU34" s="140"/>
      <c r="AV34" s="140"/>
      <c r="AW34" s="140"/>
      <c r="AX34" s="140"/>
      <c r="AY34" s="140"/>
      <c r="AZ34" s="140"/>
      <c r="BA34" s="140"/>
      <c r="BB34" s="140"/>
      <c r="BC34" s="140"/>
      <c r="BD34" s="140"/>
      <c r="BE34" s="140"/>
      <c r="BF34" s="140"/>
      <c r="BG34" s="140"/>
      <c r="BH34" s="140"/>
      <c r="BI34" s="140"/>
    </row>
    <row r="35" spans="1:61" x14ac:dyDescent="0.3">
      <c r="A35" s="193" t="s">
        <v>272</v>
      </c>
      <c r="B35" s="194">
        <v>1</v>
      </c>
      <c r="C35" s="194">
        <v>1</v>
      </c>
      <c r="D35" s="194">
        <v>7</v>
      </c>
      <c r="E35" s="194">
        <v>0.97299999999999998</v>
      </c>
      <c r="F35" s="194">
        <v>1</v>
      </c>
      <c r="G35" s="194">
        <v>11</v>
      </c>
      <c r="H35" s="194">
        <v>0.94899999999999995</v>
      </c>
      <c r="I35" s="194">
        <v>0.94699999999999995</v>
      </c>
      <c r="J35" s="194">
        <v>19</v>
      </c>
      <c r="K35" s="194">
        <v>0.92500000000000004</v>
      </c>
      <c r="L35" s="194">
        <v>0.88900000000000001</v>
      </c>
      <c r="M35" s="194">
        <v>9</v>
      </c>
      <c r="N35" s="194">
        <v>0.92900000000000005</v>
      </c>
      <c r="O35" s="194">
        <v>0.91700000000000004</v>
      </c>
      <c r="P35" s="194">
        <v>12</v>
      </c>
      <c r="Q35" s="194">
        <v>0.96399999999999997</v>
      </c>
      <c r="R35" s="194">
        <v>0.95199999999999996</v>
      </c>
      <c r="S35" s="194">
        <v>21</v>
      </c>
      <c r="T35" s="194">
        <v>0.98399999999999999</v>
      </c>
      <c r="U35" s="194">
        <v>1</v>
      </c>
      <c r="V35" s="194">
        <v>23</v>
      </c>
      <c r="W35" s="194">
        <v>0.98599999999999999</v>
      </c>
      <c r="X35" s="194">
        <v>1</v>
      </c>
      <c r="Y35" s="194">
        <v>19</v>
      </c>
      <c r="Z35" s="194">
        <v>0.98699999999999999</v>
      </c>
      <c r="AA35" s="194">
        <v>0.96899999999999997</v>
      </c>
      <c r="AB35" s="194">
        <v>32</v>
      </c>
      <c r="AC35" s="194">
        <v>0.98899999999999999</v>
      </c>
      <c r="AD35" s="194">
        <v>1</v>
      </c>
      <c r="AE35" s="194">
        <v>27</v>
      </c>
      <c r="AF35" s="194">
        <v>0.99</v>
      </c>
      <c r="AG35" s="194">
        <v>1</v>
      </c>
      <c r="AH35" s="194">
        <v>28</v>
      </c>
      <c r="AI35" s="194">
        <v>0.98599999999999999</v>
      </c>
      <c r="AJ35" s="194">
        <v>0.97599999999999998</v>
      </c>
      <c r="AK35" s="194">
        <v>41</v>
      </c>
      <c r="AL35" s="140"/>
      <c r="AM35" s="140"/>
      <c r="AN35" s="140"/>
      <c r="AO35" s="140"/>
      <c r="AP35" s="140"/>
      <c r="AQ35" s="140"/>
      <c r="AR35" s="140"/>
      <c r="AS35" s="140"/>
      <c r="AT35" s="140"/>
      <c r="AU35" s="140"/>
      <c r="AV35" s="140"/>
      <c r="AW35" s="140"/>
      <c r="AX35" s="140"/>
      <c r="AY35" s="140"/>
      <c r="AZ35" s="140"/>
      <c r="BA35" s="140"/>
      <c r="BB35" s="140"/>
      <c r="BC35" s="140"/>
      <c r="BD35" s="140"/>
      <c r="BE35" s="140"/>
      <c r="BF35" s="140"/>
      <c r="BG35" s="140"/>
      <c r="BH35" s="140"/>
      <c r="BI35" s="140"/>
    </row>
    <row r="36" spans="1:61" x14ac:dyDescent="0.3">
      <c r="A36" s="193" t="s">
        <v>276</v>
      </c>
      <c r="B36" s="194">
        <v>0.96</v>
      </c>
      <c r="C36" s="194">
        <v>0.93300000000000005</v>
      </c>
      <c r="D36" s="194">
        <v>15</v>
      </c>
      <c r="E36" s="194">
        <v>0.96899999999999997</v>
      </c>
      <c r="F36" s="194">
        <v>1</v>
      </c>
      <c r="G36" s="194">
        <v>10</v>
      </c>
      <c r="H36" s="194">
        <v>1</v>
      </c>
      <c r="I36" s="194">
        <v>1</v>
      </c>
      <c r="J36" s="194">
        <v>7</v>
      </c>
      <c r="K36" s="194">
        <v>0.96399999999999997</v>
      </c>
      <c r="L36" s="194">
        <v>1</v>
      </c>
      <c r="M36" s="194">
        <v>11</v>
      </c>
      <c r="N36" s="194">
        <v>0.93799999999999994</v>
      </c>
      <c r="O36" s="194">
        <v>0.9</v>
      </c>
      <c r="P36" s="194">
        <v>10</v>
      </c>
      <c r="Q36" s="194">
        <v>0.93300000000000005</v>
      </c>
      <c r="R36" s="194">
        <v>0.90900000000000003</v>
      </c>
      <c r="S36" s="194">
        <v>11</v>
      </c>
      <c r="T36" s="194">
        <v>0.96399999999999997</v>
      </c>
      <c r="U36" s="194">
        <v>1</v>
      </c>
      <c r="V36" s="194">
        <v>9</v>
      </c>
      <c r="W36" s="194">
        <v>1</v>
      </c>
      <c r="X36" s="194">
        <v>1</v>
      </c>
      <c r="Y36" s="194">
        <v>8</v>
      </c>
      <c r="Z36" s="194">
        <v>1</v>
      </c>
      <c r="AA36" s="194">
        <v>1</v>
      </c>
      <c r="AB36" s="194">
        <v>15</v>
      </c>
      <c r="AC36" s="194">
        <v>0.96199999999999997</v>
      </c>
      <c r="AD36" s="194">
        <v>1</v>
      </c>
      <c r="AE36" s="194">
        <v>14</v>
      </c>
      <c r="AF36" s="194">
        <v>0.92200000000000004</v>
      </c>
      <c r="AG36" s="194">
        <v>0.91300000000000003</v>
      </c>
      <c r="AH36" s="194">
        <v>23</v>
      </c>
      <c r="AI36" s="194">
        <v>0.89200000000000002</v>
      </c>
      <c r="AJ36" s="194">
        <v>0.85699999999999998</v>
      </c>
      <c r="AK36" s="194">
        <v>14</v>
      </c>
      <c r="AL36" s="140"/>
      <c r="AM36" s="140"/>
      <c r="AN36" s="140"/>
      <c r="AO36" s="140"/>
      <c r="AP36" s="140"/>
      <c r="AQ36" s="140"/>
      <c r="AR36" s="140"/>
      <c r="AS36" s="140"/>
      <c r="AT36" s="140"/>
      <c r="AU36" s="140"/>
      <c r="AV36" s="140"/>
      <c r="AW36" s="140"/>
      <c r="AX36" s="140"/>
      <c r="AY36" s="140"/>
      <c r="AZ36" s="140"/>
      <c r="BA36" s="140"/>
      <c r="BB36" s="140"/>
      <c r="BC36" s="140"/>
      <c r="BD36" s="140"/>
      <c r="BE36" s="140"/>
      <c r="BF36" s="140"/>
      <c r="BG36" s="140"/>
      <c r="BH36" s="140"/>
      <c r="BI36" s="140"/>
    </row>
    <row r="37" spans="1:61" x14ac:dyDescent="0.3">
      <c r="A37" s="193" t="s">
        <v>502</v>
      </c>
      <c r="B37" s="194">
        <v>1</v>
      </c>
      <c r="C37" s="194">
        <v>1</v>
      </c>
      <c r="D37" s="194">
        <v>18</v>
      </c>
      <c r="E37" s="194">
        <v>1</v>
      </c>
      <c r="F37" s="194">
        <v>1</v>
      </c>
      <c r="G37" s="194">
        <v>15</v>
      </c>
      <c r="H37" s="194">
        <v>0.95099999999999996</v>
      </c>
      <c r="I37" s="194">
        <v>1</v>
      </c>
      <c r="J37" s="194">
        <v>20</v>
      </c>
      <c r="K37" s="194">
        <v>0.93799999999999994</v>
      </c>
      <c r="L37" s="194">
        <v>0.66700000000000004</v>
      </c>
      <c r="M37" s="194">
        <v>6</v>
      </c>
      <c r="N37" s="194">
        <v>0.90500000000000003</v>
      </c>
      <c r="O37" s="194">
        <v>1</v>
      </c>
      <c r="P37" s="194">
        <v>6</v>
      </c>
      <c r="Q37" s="194">
        <v>1</v>
      </c>
      <c r="R37" s="194">
        <v>1</v>
      </c>
      <c r="S37" s="194">
        <v>9</v>
      </c>
      <c r="T37" s="194">
        <v>1</v>
      </c>
      <c r="U37" s="194">
        <v>1</v>
      </c>
      <c r="V37" s="194">
        <v>12</v>
      </c>
      <c r="W37" s="194">
        <v>1</v>
      </c>
      <c r="X37" s="194">
        <v>1</v>
      </c>
      <c r="Y37" s="194">
        <v>10</v>
      </c>
      <c r="Z37" s="194">
        <v>1</v>
      </c>
      <c r="AA37" s="194">
        <v>1</v>
      </c>
      <c r="AB37" s="194">
        <v>10</v>
      </c>
      <c r="AC37" s="194">
        <v>1</v>
      </c>
      <c r="AD37" s="194">
        <v>1</v>
      </c>
      <c r="AE37" s="194">
        <v>10</v>
      </c>
      <c r="AF37" s="194">
        <v>0.92900000000000005</v>
      </c>
      <c r="AG37" s="194">
        <v>1</v>
      </c>
      <c r="AH37" s="194">
        <v>10</v>
      </c>
      <c r="AI37" s="194">
        <v>0.88900000000000001</v>
      </c>
      <c r="AJ37" s="194">
        <v>0.75</v>
      </c>
      <c r="AK37" s="194">
        <v>8</v>
      </c>
      <c r="AL37" s="140"/>
      <c r="AM37" s="140"/>
      <c r="AN37" s="140"/>
      <c r="AO37" s="140"/>
      <c r="AP37" s="140"/>
      <c r="AQ37" s="140"/>
      <c r="AR37" s="140"/>
      <c r="AS37" s="140"/>
      <c r="AT37" s="140"/>
      <c r="AU37" s="140"/>
      <c r="AV37" s="140"/>
      <c r="AW37" s="140"/>
      <c r="AX37" s="140"/>
      <c r="AY37" s="140"/>
      <c r="AZ37" s="140"/>
      <c r="BA37" s="140"/>
      <c r="BB37" s="140"/>
      <c r="BC37" s="140"/>
      <c r="BD37" s="140"/>
      <c r="BE37" s="140"/>
      <c r="BF37" s="140"/>
      <c r="BG37" s="140"/>
      <c r="BH37" s="140"/>
      <c r="BI37" s="140"/>
    </row>
    <row r="38" spans="1:61" x14ac:dyDescent="0.3">
      <c r="A38" s="193" t="s">
        <v>314</v>
      </c>
      <c r="B38" s="194">
        <v>1</v>
      </c>
      <c r="C38" s="194">
        <v>1</v>
      </c>
      <c r="D38" s="194">
        <v>9</v>
      </c>
      <c r="E38" s="194">
        <v>1</v>
      </c>
      <c r="F38" s="194">
        <v>1</v>
      </c>
      <c r="G38" s="194">
        <v>7</v>
      </c>
      <c r="H38" s="194">
        <v>1</v>
      </c>
      <c r="I38" s="194">
        <v>1</v>
      </c>
      <c r="J38" s="194">
        <v>18</v>
      </c>
      <c r="K38" s="194">
        <v>1</v>
      </c>
      <c r="L38" s="194">
        <v>1</v>
      </c>
      <c r="M38" s="194">
        <v>12</v>
      </c>
      <c r="N38" s="194">
        <v>1</v>
      </c>
      <c r="O38" s="194">
        <v>1</v>
      </c>
      <c r="P38" s="194">
        <v>10</v>
      </c>
      <c r="Q38" s="194">
        <v>1</v>
      </c>
      <c r="R38" s="194">
        <v>1</v>
      </c>
      <c r="S38" s="194">
        <v>9</v>
      </c>
      <c r="T38" s="194">
        <v>0.96799999999999997</v>
      </c>
      <c r="U38" s="194">
        <v>1</v>
      </c>
      <c r="V38" s="194">
        <v>9</v>
      </c>
      <c r="W38" s="194">
        <v>0.96699999999999997</v>
      </c>
      <c r="X38" s="194">
        <v>0.92300000000000004</v>
      </c>
      <c r="Y38" s="194">
        <v>13</v>
      </c>
      <c r="Z38" s="194">
        <v>0.96899999999999997</v>
      </c>
      <c r="AA38" s="194">
        <v>1</v>
      </c>
      <c r="AB38" s="194">
        <v>8</v>
      </c>
      <c r="AC38" s="194">
        <v>1</v>
      </c>
      <c r="AD38" s="194">
        <v>1</v>
      </c>
      <c r="AE38" s="194">
        <v>11</v>
      </c>
      <c r="AF38" s="194">
        <v>0.97399999999999998</v>
      </c>
      <c r="AG38" s="194">
        <v>1</v>
      </c>
      <c r="AH38" s="194">
        <v>9</v>
      </c>
      <c r="AI38" s="194">
        <v>0.96399999999999997</v>
      </c>
      <c r="AJ38" s="194">
        <v>0.94699999999999995</v>
      </c>
      <c r="AK38" s="194">
        <v>19</v>
      </c>
      <c r="AL38" s="140"/>
      <c r="AM38" s="140"/>
      <c r="AN38" s="140"/>
      <c r="AO38" s="140"/>
      <c r="AP38" s="140"/>
      <c r="AQ38" s="140"/>
      <c r="AR38" s="140"/>
      <c r="AS38" s="140"/>
      <c r="AT38" s="140"/>
      <c r="AU38" s="140"/>
      <c r="AV38" s="140"/>
      <c r="AW38" s="140"/>
      <c r="AX38" s="140"/>
      <c r="AY38" s="140"/>
      <c r="AZ38" s="140"/>
      <c r="BA38" s="140"/>
      <c r="BB38" s="140"/>
      <c r="BC38" s="140"/>
      <c r="BD38" s="140"/>
      <c r="BE38" s="140"/>
      <c r="BF38" s="140"/>
      <c r="BG38" s="140"/>
      <c r="BH38" s="140"/>
      <c r="BI38" s="140"/>
    </row>
    <row r="39" spans="1:61" x14ac:dyDescent="0.3">
      <c r="A39" s="193" t="s">
        <v>425</v>
      </c>
      <c r="B39" s="194">
        <v>0.94899999999999995</v>
      </c>
      <c r="C39" s="194">
        <v>0.90500000000000003</v>
      </c>
      <c r="D39" s="194">
        <v>21</v>
      </c>
      <c r="E39" s="194">
        <v>0.95699999999999996</v>
      </c>
      <c r="F39" s="194">
        <v>1</v>
      </c>
      <c r="G39" s="194">
        <v>18</v>
      </c>
      <c r="H39" s="194">
        <v>1</v>
      </c>
      <c r="I39" s="194">
        <v>1</v>
      </c>
      <c r="J39" s="194">
        <v>8</v>
      </c>
      <c r="K39" s="194">
        <v>1</v>
      </c>
      <c r="L39" s="194">
        <v>1</v>
      </c>
      <c r="M39" s="194">
        <v>17</v>
      </c>
      <c r="N39" s="194">
        <v>1</v>
      </c>
      <c r="O39" s="194">
        <v>1</v>
      </c>
      <c r="P39" s="194">
        <v>13</v>
      </c>
      <c r="Q39" s="194">
        <v>0.96599999999999997</v>
      </c>
      <c r="R39" s="194">
        <v>1</v>
      </c>
      <c r="S39" s="194">
        <v>20</v>
      </c>
      <c r="T39" s="194">
        <v>0.96299999999999997</v>
      </c>
      <c r="U39" s="194">
        <v>0.92</v>
      </c>
      <c r="V39" s="194">
        <v>25</v>
      </c>
      <c r="W39" s="194">
        <v>0.92800000000000005</v>
      </c>
      <c r="X39" s="194">
        <v>0.97299999999999998</v>
      </c>
      <c r="Y39" s="194">
        <v>37</v>
      </c>
      <c r="Z39" s="194">
        <v>0.95099999999999996</v>
      </c>
      <c r="AA39" s="194">
        <v>0.85699999999999998</v>
      </c>
      <c r="AB39" s="194">
        <v>21</v>
      </c>
      <c r="AC39" s="194">
        <v>0.95499999999999996</v>
      </c>
      <c r="AD39" s="194">
        <v>1</v>
      </c>
      <c r="AE39" s="194">
        <v>23</v>
      </c>
      <c r="AF39" s="194">
        <v>1</v>
      </c>
      <c r="AG39" s="194">
        <v>1</v>
      </c>
      <c r="AH39" s="194">
        <v>23</v>
      </c>
      <c r="AI39" s="194">
        <v>1</v>
      </c>
      <c r="AJ39" s="194">
        <v>1</v>
      </c>
      <c r="AK39" s="194">
        <v>32</v>
      </c>
      <c r="AL39" s="140"/>
      <c r="AM39" s="140"/>
      <c r="AN39" s="140"/>
      <c r="AO39" s="140"/>
      <c r="AP39" s="140"/>
      <c r="AQ39" s="140"/>
      <c r="AR39" s="140"/>
      <c r="AS39" s="140"/>
      <c r="AT39" s="140"/>
      <c r="AU39" s="140"/>
      <c r="AV39" s="140"/>
      <c r="AW39" s="140"/>
      <c r="AX39" s="140"/>
      <c r="AY39" s="140"/>
      <c r="AZ39" s="140"/>
      <c r="BA39" s="140"/>
      <c r="BB39" s="140"/>
      <c r="BC39" s="140"/>
      <c r="BD39" s="140"/>
      <c r="BE39" s="140"/>
      <c r="BF39" s="140"/>
      <c r="BG39" s="140"/>
      <c r="BH39" s="140"/>
      <c r="BI39" s="140"/>
    </row>
    <row r="40" spans="1:61" x14ac:dyDescent="0.3">
      <c r="A40" s="193" t="s">
        <v>380</v>
      </c>
      <c r="B40" s="194">
        <v>1</v>
      </c>
      <c r="C40" s="194">
        <v>1</v>
      </c>
      <c r="D40" s="194">
        <v>6</v>
      </c>
      <c r="E40" s="194">
        <v>1</v>
      </c>
      <c r="F40" s="194">
        <v>1</v>
      </c>
      <c r="G40" s="194">
        <v>7</v>
      </c>
      <c r="H40" s="194">
        <v>1</v>
      </c>
      <c r="I40" s="194">
        <v>1</v>
      </c>
      <c r="J40" s="194">
        <v>4</v>
      </c>
      <c r="K40" s="194">
        <v>0.88900000000000001</v>
      </c>
      <c r="L40" s="194">
        <v>1</v>
      </c>
      <c r="M40" s="194">
        <v>2</v>
      </c>
      <c r="N40" s="194">
        <v>0.8</v>
      </c>
      <c r="O40" s="194">
        <v>0.66700000000000004</v>
      </c>
      <c r="P40" s="194">
        <v>3</v>
      </c>
      <c r="Q40" s="194">
        <v>0.91700000000000004</v>
      </c>
      <c r="R40" s="194"/>
      <c r="S40" s="194"/>
      <c r="T40" s="194">
        <v>1</v>
      </c>
      <c r="U40" s="194">
        <v>1</v>
      </c>
      <c r="V40" s="194">
        <v>9</v>
      </c>
      <c r="W40" s="194">
        <v>1</v>
      </c>
      <c r="X40" s="194">
        <v>1</v>
      </c>
      <c r="Y40" s="194">
        <v>5</v>
      </c>
      <c r="Z40" s="194">
        <v>1</v>
      </c>
      <c r="AA40" s="194">
        <v>1</v>
      </c>
      <c r="AB40" s="194">
        <v>6</v>
      </c>
      <c r="AC40" s="194">
        <v>1</v>
      </c>
      <c r="AD40" s="194">
        <v>1</v>
      </c>
      <c r="AE40" s="194">
        <v>9</v>
      </c>
      <c r="AF40" s="194">
        <v>0.95799999999999996</v>
      </c>
      <c r="AG40" s="194">
        <v>1</v>
      </c>
      <c r="AH40" s="194">
        <v>4</v>
      </c>
      <c r="AI40" s="194">
        <v>0.93300000000000005</v>
      </c>
      <c r="AJ40" s="194">
        <v>0.90900000000000003</v>
      </c>
      <c r="AK40" s="194">
        <v>11</v>
      </c>
      <c r="AL40" s="140"/>
      <c r="AM40" s="140"/>
      <c r="AN40" s="140"/>
      <c r="AO40" s="140"/>
      <c r="AP40" s="140"/>
      <c r="AQ40" s="140"/>
      <c r="AR40" s="140"/>
      <c r="AS40" s="140"/>
      <c r="AT40" s="140"/>
      <c r="AU40" s="140"/>
      <c r="AV40" s="140"/>
      <c r="AW40" s="140"/>
      <c r="AX40" s="140"/>
      <c r="AY40" s="140"/>
      <c r="AZ40" s="140"/>
      <c r="BA40" s="140"/>
      <c r="BB40" s="140"/>
      <c r="BC40" s="140"/>
      <c r="BD40" s="140"/>
      <c r="BE40" s="140"/>
      <c r="BF40" s="140"/>
      <c r="BG40" s="140"/>
      <c r="BH40" s="140"/>
      <c r="BI40" s="140"/>
    </row>
    <row r="41" spans="1:61" x14ac:dyDescent="0.3">
      <c r="A41" s="193" t="s">
        <v>542</v>
      </c>
      <c r="B41" s="194">
        <v>1</v>
      </c>
      <c r="C41" s="194">
        <v>1</v>
      </c>
      <c r="D41" s="194">
        <v>12</v>
      </c>
      <c r="E41" s="194">
        <v>1</v>
      </c>
      <c r="F41" s="194">
        <v>1</v>
      </c>
      <c r="G41" s="194">
        <v>5</v>
      </c>
      <c r="H41" s="194">
        <v>1</v>
      </c>
      <c r="I41" s="194">
        <v>1</v>
      </c>
      <c r="J41" s="194">
        <v>5</v>
      </c>
      <c r="K41" s="194">
        <v>1</v>
      </c>
      <c r="L41" s="194">
        <v>1</v>
      </c>
      <c r="M41" s="194">
        <v>7</v>
      </c>
      <c r="N41" s="194">
        <v>0.95699999999999996</v>
      </c>
      <c r="O41" s="194">
        <v>1</v>
      </c>
      <c r="P41" s="194">
        <v>5</v>
      </c>
      <c r="Q41" s="194">
        <v>0.96199999999999997</v>
      </c>
      <c r="R41" s="194">
        <v>0.90900000000000003</v>
      </c>
      <c r="S41" s="194">
        <v>11</v>
      </c>
      <c r="T41" s="194">
        <v>0.96199999999999997</v>
      </c>
      <c r="U41" s="194">
        <v>1</v>
      </c>
      <c r="V41" s="194">
        <v>10</v>
      </c>
      <c r="W41" s="194">
        <v>0.95199999999999996</v>
      </c>
      <c r="X41" s="194">
        <v>1</v>
      </c>
      <c r="Y41" s="194">
        <v>5</v>
      </c>
      <c r="Z41" s="194">
        <v>0.94699999999999995</v>
      </c>
      <c r="AA41" s="194">
        <v>0.83299999999999996</v>
      </c>
      <c r="AB41" s="194">
        <v>6</v>
      </c>
      <c r="AC41" s="194">
        <v>0.95699999999999996</v>
      </c>
      <c r="AD41" s="194">
        <v>1</v>
      </c>
      <c r="AE41" s="194">
        <v>8</v>
      </c>
      <c r="AF41" s="194">
        <v>1</v>
      </c>
      <c r="AG41" s="194">
        <v>1</v>
      </c>
      <c r="AH41" s="194">
        <v>9</v>
      </c>
      <c r="AI41" s="194">
        <v>1</v>
      </c>
      <c r="AJ41" s="194">
        <v>1</v>
      </c>
      <c r="AK41" s="194">
        <v>8</v>
      </c>
      <c r="AL41" s="140"/>
      <c r="AM41" s="140"/>
      <c r="AN41" s="140"/>
      <c r="AO41" s="140"/>
      <c r="AP41" s="140"/>
      <c r="AQ41" s="140"/>
      <c r="AR41" s="140"/>
      <c r="AS41" s="140"/>
      <c r="AT41" s="140"/>
      <c r="AU41" s="140"/>
      <c r="AV41" s="140"/>
      <c r="AW41" s="140"/>
      <c r="AX41" s="140"/>
      <c r="AY41" s="140"/>
      <c r="AZ41" s="140"/>
      <c r="BA41" s="140"/>
      <c r="BB41" s="140"/>
      <c r="BC41" s="140"/>
      <c r="BD41" s="140"/>
      <c r="BE41" s="140"/>
      <c r="BF41" s="140"/>
      <c r="BG41" s="140"/>
      <c r="BH41" s="140"/>
      <c r="BI41" s="140"/>
    </row>
    <row r="42" spans="1:61" x14ac:dyDescent="0.3">
      <c r="A42" s="193" t="s">
        <v>306</v>
      </c>
      <c r="B42" s="194">
        <v>0.98599999999999999</v>
      </c>
      <c r="C42" s="194">
        <v>1</v>
      </c>
      <c r="D42" s="194">
        <v>41</v>
      </c>
      <c r="E42" s="194">
        <v>0.98099999999999998</v>
      </c>
      <c r="F42" s="194">
        <v>0.96799999999999997</v>
      </c>
      <c r="G42" s="194">
        <v>31</v>
      </c>
      <c r="H42" s="194">
        <v>0.96699999999999997</v>
      </c>
      <c r="I42" s="194">
        <v>0.97099999999999997</v>
      </c>
      <c r="J42" s="194">
        <v>34</v>
      </c>
      <c r="K42" s="194">
        <v>0.97499999999999998</v>
      </c>
      <c r="L42" s="194">
        <v>0.96</v>
      </c>
      <c r="M42" s="194">
        <v>25</v>
      </c>
      <c r="N42" s="194">
        <v>0.97499999999999998</v>
      </c>
      <c r="O42" s="194">
        <v>1</v>
      </c>
      <c r="P42" s="194">
        <v>22</v>
      </c>
      <c r="Q42" s="194">
        <v>0.97899999999999998</v>
      </c>
      <c r="R42" s="194">
        <v>0.97</v>
      </c>
      <c r="S42" s="194">
        <v>33</v>
      </c>
      <c r="T42" s="194">
        <v>0.96199999999999997</v>
      </c>
      <c r="U42" s="194">
        <v>0.97599999999999998</v>
      </c>
      <c r="V42" s="194">
        <v>41</v>
      </c>
      <c r="W42" s="194">
        <v>0.96899999999999997</v>
      </c>
      <c r="X42" s="194">
        <v>0.93500000000000005</v>
      </c>
      <c r="Y42" s="194">
        <v>31</v>
      </c>
      <c r="Z42" s="194">
        <v>0.97899999999999998</v>
      </c>
      <c r="AA42" s="194">
        <v>1</v>
      </c>
      <c r="AB42" s="194">
        <v>26</v>
      </c>
      <c r="AC42" s="194">
        <v>1</v>
      </c>
      <c r="AD42" s="194">
        <v>1</v>
      </c>
      <c r="AE42" s="194">
        <v>39</v>
      </c>
      <c r="AF42" s="194">
        <v>0.98299999999999998</v>
      </c>
      <c r="AG42" s="194">
        <v>1</v>
      </c>
      <c r="AH42" s="194">
        <v>39</v>
      </c>
      <c r="AI42" s="194">
        <v>0.97499999999999998</v>
      </c>
      <c r="AJ42" s="194">
        <v>0.95099999999999996</v>
      </c>
      <c r="AK42" s="194">
        <v>41</v>
      </c>
      <c r="AL42" s="140"/>
      <c r="AM42" s="140"/>
      <c r="AN42" s="140"/>
      <c r="AO42" s="140"/>
      <c r="AP42" s="140"/>
      <c r="AQ42" s="140"/>
      <c r="AR42" s="140"/>
      <c r="AS42" s="140"/>
      <c r="AT42" s="140"/>
      <c r="AU42" s="140"/>
      <c r="AV42" s="140"/>
      <c r="AW42" s="140"/>
      <c r="AX42" s="140"/>
      <c r="AY42" s="140"/>
      <c r="AZ42" s="140"/>
      <c r="BA42" s="140"/>
      <c r="BB42" s="140"/>
      <c r="BC42" s="140"/>
      <c r="BD42" s="140"/>
      <c r="BE42" s="140"/>
      <c r="BF42" s="140"/>
      <c r="BG42" s="140"/>
      <c r="BH42" s="140"/>
      <c r="BI42" s="140"/>
    </row>
    <row r="43" spans="1:61" x14ac:dyDescent="0.3">
      <c r="A43" s="193" t="s">
        <v>468</v>
      </c>
      <c r="B43" s="194">
        <v>0.93200000000000005</v>
      </c>
      <c r="C43" s="194">
        <v>0.93100000000000005</v>
      </c>
      <c r="D43" s="194">
        <v>29</v>
      </c>
      <c r="E43" s="194">
        <v>0.92900000000000005</v>
      </c>
      <c r="F43" s="194">
        <v>0.93300000000000005</v>
      </c>
      <c r="G43" s="194">
        <v>30</v>
      </c>
      <c r="H43" s="194">
        <v>0.93799999999999994</v>
      </c>
      <c r="I43" s="194">
        <v>0.92300000000000004</v>
      </c>
      <c r="J43" s="194">
        <v>26</v>
      </c>
      <c r="K43" s="194">
        <v>0.90900000000000003</v>
      </c>
      <c r="L43" s="194">
        <v>0.95799999999999996</v>
      </c>
      <c r="M43" s="194">
        <v>24</v>
      </c>
      <c r="N43" s="194">
        <v>0.90400000000000003</v>
      </c>
      <c r="O43" s="194">
        <v>0.85199999999999998</v>
      </c>
      <c r="P43" s="194">
        <v>27</v>
      </c>
      <c r="Q43" s="194">
        <v>0.872</v>
      </c>
      <c r="R43" s="194">
        <v>0.90900000000000003</v>
      </c>
      <c r="S43" s="194">
        <v>22</v>
      </c>
      <c r="T43" s="194">
        <v>0.91300000000000003</v>
      </c>
      <c r="U43" s="194">
        <v>0.86499999999999999</v>
      </c>
      <c r="V43" s="194">
        <v>37</v>
      </c>
      <c r="W43" s="194">
        <v>0.88400000000000001</v>
      </c>
      <c r="X43" s="194">
        <v>1</v>
      </c>
      <c r="Y43" s="194">
        <v>21</v>
      </c>
      <c r="Z43" s="194">
        <v>0.91400000000000003</v>
      </c>
      <c r="AA43" s="194">
        <v>0.83799999999999997</v>
      </c>
      <c r="AB43" s="194">
        <v>37</v>
      </c>
      <c r="AC43" s="194">
        <v>0.86799999999999999</v>
      </c>
      <c r="AD43" s="194">
        <v>0.94299999999999995</v>
      </c>
      <c r="AE43" s="194">
        <v>35</v>
      </c>
      <c r="AF43" s="194">
        <v>0.78100000000000003</v>
      </c>
      <c r="AG43" s="194">
        <v>0.82399999999999995</v>
      </c>
      <c r="AH43" s="194">
        <v>34</v>
      </c>
      <c r="AI43" s="194">
        <v>0.70899999999999996</v>
      </c>
      <c r="AJ43" s="194">
        <v>0.622</v>
      </c>
      <c r="AK43" s="194">
        <v>45</v>
      </c>
      <c r="AL43" s="140"/>
      <c r="AM43" s="140"/>
      <c r="AN43" s="140"/>
      <c r="AO43" s="140"/>
      <c r="AP43" s="140"/>
      <c r="AQ43" s="140"/>
      <c r="AR43" s="140"/>
      <c r="AS43" s="140"/>
      <c r="AT43" s="140"/>
      <c r="AU43" s="140"/>
      <c r="AV43" s="140"/>
      <c r="AW43" s="140"/>
      <c r="AX43" s="140"/>
      <c r="AY43" s="140"/>
      <c r="AZ43" s="140"/>
      <c r="BA43" s="140"/>
      <c r="BB43" s="140"/>
      <c r="BC43" s="140"/>
      <c r="BD43" s="140"/>
      <c r="BE43" s="140"/>
      <c r="BF43" s="140"/>
      <c r="BG43" s="140"/>
      <c r="BH43" s="140"/>
      <c r="BI43" s="140"/>
    </row>
    <row r="44" spans="1:61" x14ac:dyDescent="0.3">
      <c r="A44" s="193" t="s">
        <v>448</v>
      </c>
      <c r="B44" s="194">
        <v>1</v>
      </c>
      <c r="C44" s="194">
        <v>1</v>
      </c>
      <c r="D44" s="194">
        <v>27</v>
      </c>
      <c r="E44" s="194">
        <v>1</v>
      </c>
      <c r="F44" s="194">
        <v>1</v>
      </c>
      <c r="G44" s="194">
        <v>26</v>
      </c>
      <c r="H44" s="194">
        <v>1</v>
      </c>
      <c r="I44" s="194">
        <v>1</v>
      </c>
      <c r="J44" s="194">
        <v>35</v>
      </c>
      <c r="K44" s="194">
        <v>0.98799999999999999</v>
      </c>
      <c r="L44" s="194">
        <v>1</v>
      </c>
      <c r="M44" s="194">
        <v>24</v>
      </c>
      <c r="N44" s="194">
        <v>0.98499999999999999</v>
      </c>
      <c r="O44" s="194">
        <v>0.96199999999999997</v>
      </c>
      <c r="P44" s="194">
        <v>26</v>
      </c>
      <c r="Q44" s="194">
        <v>0.98499999999999999</v>
      </c>
      <c r="R44" s="194">
        <v>1</v>
      </c>
      <c r="S44" s="194">
        <v>18</v>
      </c>
      <c r="T44" s="194">
        <v>1</v>
      </c>
      <c r="U44" s="194">
        <v>1</v>
      </c>
      <c r="V44" s="194">
        <v>21</v>
      </c>
      <c r="W44" s="194">
        <v>0.98699999999999999</v>
      </c>
      <c r="X44" s="194">
        <v>1</v>
      </c>
      <c r="Y44" s="194">
        <v>22</v>
      </c>
      <c r="Z44" s="194">
        <v>0.97499999999999998</v>
      </c>
      <c r="AA44" s="194">
        <v>0.96899999999999997</v>
      </c>
      <c r="AB44" s="194">
        <v>32</v>
      </c>
      <c r="AC44" s="194">
        <v>0.95</v>
      </c>
      <c r="AD44" s="194">
        <v>0.96199999999999997</v>
      </c>
      <c r="AE44" s="194">
        <v>26</v>
      </c>
      <c r="AF44" s="194">
        <v>0.93200000000000005</v>
      </c>
      <c r="AG44" s="194">
        <v>0.93</v>
      </c>
      <c r="AH44" s="194">
        <v>43</v>
      </c>
      <c r="AI44" s="194">
        <v>0.91900000000000004</v>
      </c>
      <c r="AJ44" s="194">
        <v>0.89500000000000002</v>
      </c>
      <c r="AK44" s="194">
        <v>19</v>
      </c>
      <c r="AL44" s="140"/>
      <c r="AM44" s="140"/>
      <c r="AN44" s="140"/>
      <c r="AO44" s="140"/>
      <c r="AP44" s="140"/>
      <c r="AQ44" s="140"/>
      <c r="AR44" s="140"/>
      <c r="AS44" s="140"/>
      <c r="AT44" s="140"/>
      <c r="AU44" s="140"/>
      <c r="AV44" s="140"/>
      <c r="AW44" s="140"/>
      <c r="AX44" s="140"/>
      <c r="AY44" s="140"/>
      <c r="AZ44" s="140"/>
      <c r="BA44" s="140"/>
      <c r="BB44" s="140"/>
      <c r="BC44" s="140"/>
      <c r="BD44" s="140"/>
      <c r="BE44" s="140"/>
      <c r="BF44" s="140"/>
      <c r="BG44" s="140"/>
      <c r="BH44" s="140"/>
      <c r="BI44" s="140"/>
    </row>
    <row r="45" spans="1:61" x14ac:dyDescent="0.3">
      <c r="A45" s="193" t="s">
        <v>516</v>
      </c>
      <c r="B45" s="194">
        <v>0.94699999999999995</v>
      </c>
      <c r="C45" s="194">
        <v>0.97699999999999998</v>
      </c>
      <c r="D45" s="194">
        <v>43</v>
      </c>
      <c r="E45" s="194">
        <v>0.92</v>
      </c>
      <c r="F45" s="194">
        <v>0.90600000000000003</v>
      </c>
      <c r="G45" s="194">
        <v>32</v>
      </c>
      <c r="H45" s="194">
        <v>0.88</v>
      </c>
      <c r="I45" s="194">
        <v>0.84</v>
      </c>
      <c r="J45" s="194">
        <v>25</v>
      </c>
      <c r="K45" s="194">
        <v>0.88900000000000001</v>
      </c>
      <c r="L45" s="194">
        <v>0.88600000000000001</v>
      </c>
      <c r="M45" s="194">
        <v>35</v>
      </c>
      <c r="N45" s="194">
        <v>0.88300000000000001</v>
      </c>
      <c r="O45" s="194">
        <v>0.93300000000000005</v>
      </c>
      <c r="P45" s="194">
        <v>30</v>
      </c>
      <c r="Q45" s="194">
        <v>0.87</v>
      </c>
      <c r="R45" s="194">
        <v>0.84199999999999997</v>
      </c>
      <c r="S45" s="194">
        <v>38</v>
      </c>
      <c r="T45" s="194">
        <v>0.88400000000000001</v>
      </c>
      <c r="U45" s="194">
        <v>0.83299999999999996</v>
      </c>
      <c r="V45" s="194">
        <v>24</v>
      </c>
      <c r="W45" s="194">
        <v>0.93200000000000005</v>
      </c>
      <c r="X45" s="194">
        <v>1</v>
      </c>
      <c r="Y45" s="194">
        <v>24</v>
      </c>
      <c r="Z45" s="194">
        <v>0.90500000000000003</v>
      </c>
      <c r="AA45" s="194">
        <v>0.96199999999999997</v>
      </c>
      <c r="AB45" s="194">
        <v>26</v>
      </c>
      <c r="AC45" s="194">
        <v>0.86399999999999999</v>
      </c>
      <c r="AD45" s="194">
        <v>0.75</v>
      </c>
      <c r="AE45" s="194">
        <v>24</v>
      </c>
      <c r="AF45" s="194">
        <v>0.85699999999999998</v>
      </c>
      <c r="AG45" s="194">
        <v>0.871</v>
      </c>
      <c r="AH45" s="194">
        <v>31</v>
      </c>
      <c r="AI45" s="194">
        <v>0.90600000000000003</v>
      </c>
      <c r="AJ45" s="194">
        <v>0.95499999999999996</v>
      </c>
      <c r="AK45" s="194">
        <v>22</v>
      </c>
      <c r="AL45" s="140"/>
      <c r="AM45" s="140"/>
      <c r="AN45" s="140"/>
      <c r="AO45" s="140"/>
      <c r="AP45" s="140"/>
      <c r="AQ45" s="140"/>
      <c r="AR45" s="140"/>
      <c r="AS45" s="140"/>
      <c r="AT45" s="140"/>
      <c r="AU45" s="140"/>
      <c r="AV45" s="140"/>
      <c r="AW45" s="140"/>
      <c r="AX45" s="140"/>
      <c r="AY45" s="140"/>
      <c r="AZ45" s="140"/>
      <c r="BA45" s="140"/>
      <c r="BB45" s="140"/>
      <c r="BC45" s="140"/>
      <c r="BD45" s="140"/>
      <c r="BE45" s="140"/>
      <c r="BF45" s="140"/>
      <c r="BG45" s="140"/>
      <c r="BH45" s="140"/>
      <c r="BI45" s="140"/>
    </row>
    <row r="46" spans="1:61" x14ac:dyDescent="0.3">
      <c r="A46" s="193" t="s">
        <v>462</v>
      </c>
      <c r="B46" s="194">
        <v>1</v>
      </c>
      <c r="C46" s="194">
        <v>1</v>
      </c>
      <c r="D46" s="194">
        <v>20</v>
      </c>
      <c r="E46" s="194">
        <v>0.96799999999999997</v>
      </c>
      <c r="F46" s="194">
        <v>1</v>
      </c>
      <c r="G46" s="194">
        <v>16</v>
      </c>
      <c r="H46" s="194">
        <v>0.95199999999999996</v>
      </c>
      <c r="I46" s="194">
        <v>0.92300000000000004</v>
      </c>
      <c r="J46" s="194">
        <v>26</v>
      </c>
      <c r="K46" s="194">
        <v>0.93799999999999994</v>
      </c>
      <c r="L46" s="194">
        <v>0.95199999999999996</v>
      </c>
      <c r="M46" s="194">
        <v>21</v>
      </c>
      <c r="N46" s="194">
        <v>0.97099999999999997</v>
      </c>
      <c r="O46" s="194">
        <v>0.94099999999999995</v>
      </c>
      <c r="P46" s="194">
        <v>17</v>
      </c>
      <c r="Q46" s="194">
        <v>0.97399999999999998</v>
      </c>
      <c r="R46" s="194">
        <v>1</v>
      </c>
      <c r="S46" s="194">
        <v>32</v>
      </c>
      <c r="T46" s="194">
        <v>0.96699999999999997</v>
      </c>
      <c r="U46" s="194">
        <v>0.96399999999999997</v>
      </c>
      <c r="V46" s="194">
        <v>28</v>
      </c>
      <c r="W46" s="194">
        <v>0.93899999999999995</v>
      </c>
      <c r="X46" s="194">
        <v>0.93500000000000005</v>
      </c>
      <c r="Y46" s="194">
        <v>31</v>
      </c>
      <c r="Z46" s="194">
        <v>0.91100000000000003</v>
      </c>
      <c r="AA46" s="194">
        <v>0.91300000000000003</v>
      </c>
      <c r="AB46" s="194">
        <v>23</v>
      </c>
      <c r="AC46" s="194">
        <v>0.92200000000000004</v>
      </c>
      <c r="AD46" s="194">
        <v>0.88</v>
      </c>
      <c r="AE46" s="194">
        <v>25</v>
      </c>
      <c r="AF46" s="194">
        <v>0.91100000000000003</v>
      </c>
      <c r="AG46" s="194">
        <v>0.96599999999999997</v>
      </c>
      <c r="AH46" s="194">
        <v>29</v>
      </c>
      <c r="AI46" s="194">
        <v>0.92600000000000005</v>
      </c>
      <c r="AJ46" s="194">
        <v>0.88</v>
      </c>
      <c r="AK46" s="194">
        <v>25</v>
      </c>
      <c r="AL46" s="140"/>
      <c r="AM46" s="140"/>
      <c r="AN46" s="140"/>
      <c r="AO46" s="140"/>
      <c r="AP46" s="140"/>
      <c r="AQ46" s="140"/>
      <c r="AR46" s="140"/>
      <c r="AS46" s="140"/>
      <c r="AT46" s="140"/>
      <c r="AU46" s="140"/>
      <c r="AV46" s="140"/>
      <c r="AW46" s="140"/>
      <c r="AX46" s="140"/>
      <c r="AY46" s="140"/>
      <c r="AZ46" s="140"/>
      <c r="BA46" s="140"/>
      <c r="BB46" s="140"/>
      <c r="BC46" s="140"/>
      <c r="BD46" s="140"/>
      <c r="BE46" s="140"/>
      <c r="BF46" s="140"/>
      <c r="BG46" s="140"/>
      <c r="BH46" s="140"/>
      <c r="BI46" s="140"/>
    </row>
    <row r="47" spans="1:61" x14ac:dyDescent="0.3">
      <c r="A47" s="193" t="s">
        <v>442</v>
      </c>
      <c r="B47" s="194">
        <v>0.878</v>
      </c>
      <c r="C47" s="194">
        <v>0.8</v>
      </c>
      <c r="D47" s="194">
        <v>15</v>
      </c>
      <c r="E47" s="194">
        <v>0.86899999999999999</v>
      </c>
      <c r="F47" s="194">
        <v>0.92300000000000004</v>
      </c>
      <c r="G47" s="194">
        <v>26</v>
      </c>
      <c r="H47" s="194">
        <v>0.85899999999999999</v>
      </c>
      <c r="I47" s="194">
        <v>0.85</v>
      </c>
      <c r="J47" s="194">
        <v>20</v>
      </c>
      <c r="K47" s="194">
        <v>0.84</v>
      </c>
      <c r="L47" s="194">
        <v>0.77800000000000002</v>
      </c>
      <c r="M47" s="194">
        <v>18</v>
      </c>
      <c r="N47" s="194">
        <v>0.75600000000000001</v>
      </c>
      <c r="O47" s="194">
        <v>0.91700000000000004</v>
      </c>
      <c r="P47" s="194">
        <v>12</v>
      </c>
      <c r="Q47" s="194">
        <v>0.76</v>
      </c>
      <c r="R47" s="194">
        <v>0.6</v>
      </c>
      <c r="S47" s="194">
        <v>15</v>
      </c>
      <c r="T47" s="194">
        <v>0.72099999999999997</v>
      </c>
      <c r="U47" s="194">
        <v>0.78300000000000003</v>
      </c>
      <c r="V47" s="194">
        <v>23</v>
      </c>
      <c r="W47" s="194">
        <v>0.79100000000000004</v>
      </c>
      <c r="X47" s="194">
        <v>0.73899999999999999</v>
      </c>
      <c r="Y47" s="194">
        <v>23</v>
      </c>
      <c r="Z47" s="194">
        <v>0.81399999999999995</v>
      </c>
      <c r="AA47" s="194">
        <v>0.85699999999999998</v>
      </c>
      <c r="AB47" s="194">
        <v>21</v>
      </c>
      <c r="AC47" s="194">
        <v>0.84299999999999997</v>
      </c>
      <c r="AD47" s="194">
        <v>0.86699999999999999</v>
      </c>
      <c r="AE47" s="194">
        <v>15</v>
      </c>
      <c r="AF47" s="194">
        <v>0.74099999999999999</v>
      </c>
      <c r="AG47" s="194">
        <v>0.8</v>
      </c>
      <c r="AH47" s="194">
        <v>15</v>
      </c>
      <c r="AI47" s="194">
        <v>0.69199999999999995</v>
      </c>
      <c r="AJ47" s="194">
        <v>0.625</v>
      </c>
      <c r="AK47" s="194">
        <v>24</v>
      </c>
      <c r="AL47" s="140"/>
      <c r="AM47" s="140"/>
      <c r="AN47" s="140"/>
      <c r="AO47" s="140"/>
      <c r="AP47" s="140"/>
      <c r="AQ47" s="140"/>
      <c r="AR47" s="140"/>
      <c r="AS47" s="140"/>
      <c r="AT47" s="140"/>
      <c r="AU47" s="140"/>
      <c r="AV47" s="140"/>
      <c r="AW47" s="140"/>
      <c r="AX47" s="140"/>
      <c r="AY47" s="140"/>
      <c r="AZ47" s="140"/>
      <c r="BA47" s="140"/>
      <c r="BB47" s="140"/>
      <c r="BC47" s="140"/>
      <c r="BD47" s="140"/>
      <c r="BE47" s="140"/>
      <c r="BF47" s="140"/>
      <c r="BG47" s="140"/>
      <c r="BH47" s="140"/>
      <c r="BI47" s="140"/>
    </row>
    <row r="48" spans="1:61" x14ac:dyDescent="0.3">
      <c r="A48" s="193" t="s">
        <v>444</v>
      </c>
      <c r="B48" s="194">
        <v>0.95599999999999996</v>
      </c>
      <c r="C48" s="194">
        <v>0.93100000000000005</v>
      </c>
      <c r="D48" s="194">
        <v>29</v>
      </c>
      <c r="E48" s="194">
        <v>0.95499999999999996</v>
      </c>
      <c r="F48" s="194">
        <v>1</v>
      </c>
      <c r="G48" s="194">
        <v>16</v>
      </c>
      <c r="H48" s="194">
        <v>0.96599999999999997</v>
      </c>
      <c r="I48" s="194">
        <v>0.95199999999999996</v>
      </c>
      <c r="J48" s="194">
        <v>21</v>
      </c>
      <c r="K48" s="194">
        <v>0.93899999999999995</v>
      </c>
      <c r="L48" s="194">
        <v>0.95199999999999996</v>
      </c>
      <c r="M48" s="194">
        <v>21</v>
      </c>
      <c r="N48" s="194">
        <v>0.91200000000000003</v>
      </c>
      <c r="O48" s="194">
        <v>0.91700000000000004</v>
      </c>
      <c r="P48" s="194">
        <v>24</v>
      </c>
      <c r="Q48" s="194">
        <v>0.89600000000000002</v>
      </c>
      <c r="R48" s="194">
        <v>0.87</v>
      </c>
      <c r="S48" s="194">
        <v>23</v>
      </c>
      <c r="T48" s="194">
        <v>0.88100000000000001</v>
      </c>
      <c r="U48" s="194">
        <v>0.9</v>
      </c>
      <c r="V48" s="194">
        <v>20</v>
      </c>
      <c r="W48" s="194">
        <v>0.88900000000000001</v>
      </c>
      <c r="X48" s="194">
        <v>0.875</v>
      </c>
      <c r="Y48" s="194">
        <v>16</v>
      </c>
      <c r="Z48" s="194">
        <v>0.91700000000000004</v>
      </c>
      <c r="AA48" s="194">
        <v>0.88900000000000001</v>
      </c>
      <c r="AB48" s="194">
        <v>18</v>
      </c>
      <c r="AC48" s="194">
        <v>0.93</v>
      </c>
      <c r="AD48" s="194">
        <v>1</v>
      </c>
      <c r="AE48" s="194">
        <v>14</v>
      </c>
      <c r="AF48" s="194">
        <v>0.93600000000000005</v>
      </c>
      <c r="AG48" s="194">
        <v>0.90900000000000003</v>
      </c>
      <c r="AH48" s="194">
        <v>11</v>
      </c>
      <c r="AI48" s="194">
        <v>0.90900000000000003</v>
      </c>
      <c r="AJ48" s="194">
        <v>0.90900000000000003</v>
      </c>
      <c r="AK48" s="194">
        <v>22</v>
      </c>
      <c r="AL48" s="140"/>
      <c r="AM48" s="140"/>
      <c r="AN48" s="140"/>
      <c r="AO48" s="140"/>
      <c r="AP48" s="140"/>
      <c r="AQ48" s="140"/>
      <c r="AR48" s="140"/>
      <c r="AS48" s="140"/>
      <c r="AT48" s="140"/>
      <c r="AU48" s="140"/>
      <c r="AV48" s="140"/>
      <c r="AW48" s="140"/>
      <c r="AX48" s="140"/>
      <c r="AY48" s="140"/>
      <c r="AZ48" s="140"/>
      <c r="BA48" s="140"/>
      <c r="BB48" s="140"/>
      <c r="BC48" s="140"/>
      <c r="BD48" s="140"/>
      <c r="BE48" s="140"/>
      <c r="BF48" s="140"/>
      <c r="BG48" s="140"/>
      <c r="BH48" s="140"/>
      <c r="BI48" s="140"/>
    </row>
    <row r="49" spans="1:61" x14ac:dyDescent="0.3">
      <c r="A49" s="193" t="s">
        <v>364</v>
      </c>
      <c r="B49" s="194">
        <v>0.92700000000000005</v>
      </c>
      <c r="C49" s="194">
        <v>0.94699999999999995</v>
      </c>
      <c r="D49" s="194">
        <v>19</v>
      </c>
      <c r="E49" s="194">
        <v>0.93400000000000005</v>
      </c>
      <c r="F49" s="194">
        <v>0.90900000000000003</v>
      </c>
      <c r="G49" s="194">
        <v>22</v>
      </c>
      <c r="H49" s="194">
        <v>0.93100000000000005</v>
      </c>
      <c r="I49" s="194">
        <v>0.95</v>
      </c>
      <c r="J49" s="194">
        <v>20</v>
      </c>
      <c r="K49" s="194">
        <v>0.89700000000000002</v>
      </c>
      <c r="L49" s="194">
        <v>0.93799999999999994</v>
      </c>
      <c r="M49" s="194">
        <v>16</v>
      </c>
      <c r="N49" s="194">
        <v>0.88900000000000001</v>
      </c>
      <c r="O49" s="194">
        <v>0.81799999999999995</v>
      </c>
      <c r="P49" s="194">
        <v>22</v>
      </c>
      <c r="Q49" s="194">
        <v>0.88</v>
      </c>
      <c r="R49" s="194">
        <v>0.92</v>
      </c>
      <c r="S49" s="194">
        <v>25</v>
      </c>
      <c r="T49" s="194">
        <v>0.877</v>
      </c>
      <c r="U49" s="194">
        <v>0.89300000000000002</v>
      </c>
      <c r="V49" s="194">
        <v>28</v>
      </c>
      <c r="W49" s="194">
        <v>0.85699999999999998</v>
      </c>
      <c r="X49" s="194">
        <v>0.82099999999999995</v>
      </c>
      <c r="Y49" s="194">
        <v>28</v>
      </c>
      <c r="Z49" s="194">
        <v>0.83699999999999997</v>
      </c>
      <c r="AA49" s="194">
        <v>0.85699999999999998</v>
      </c>
      <c r="AB49" s="194">
        <v>28</v>
      </c>
      <c r="AC49" s="194">
        <v>0.85599999999999998</v>
      </c>
      <c r="AD49" s="194">
        <v>0.83299999999999996</v>
      </c>
      <c r="AE49" s="194">
        <v>24</v>
      </c>
      <c r="AF49" s="194">
        <v>0.88500000000000001</v>
      </c>
      <c r="AG49" s="194">
        <v>0.86799999999999999</v>
      </c>
      <c r="AH49" s="194">
        <v>38</v>
      </c>
      <c r="AI49" s="194">
        <v>0.90500000000000003</v>
      </c>
      <c r="AJ49" s="194">
        <v>0.96</v>
      </c>
      <c r="AK49" s="194">
        <v>25</v>
      </c>
      <c r="AL49" s="140"/>
      <c r="AM49" s="140"/>
      <c r="AN49" s="140"/>
      <c r="AO49" s="140"/>
      <c r="AP49" s="140"/>
      <c r="AQ49" s="140"/>
      <c r="AR49" s="140"/>
      <c r="AS49" s="140"/>
      <c r="AT49" s="140"/>
      <c r="AU49" s="140"/>
      <c r="AV49" s="140"/>
      <c r="AW49" s="140"/>
      <c r="AX49" s="140"/>
      <c r="AY49" s="140"/>
      <c r="AZ49" s="140"/>
      <c r="BA49" s="140"/>
      <c r="BB49" s="140"/>
      <c r="BC49" s="140"/>
      <c r="BD49" s="140"/>
      <c r="BE49" s="140"/>
      <c r="BF49" s="140"/>
      <c r="BG49" s="140"/>
      <c r="BH49" s="140"/>
      <c r="BI49" s="140"/>
    </row>
    <row r="50" spans="1:61" x14ac:dyDescent="0.3">
      <c r="A50" s="193" t="s">
        <v>392</v>
      </c>
      <c r="B50" s="194">
        <v>1</v>
      </c>
      <c r="C50" s="194">
        <v>1</v>
      </c>
      <c r="D50" s="194">
        <v>9</v>
      </c>
      <c r="E50" s="194">
        <v>1</v>
      </c>
      <c r="F50" s="194">
        <v>1</v>
      </c>
      <c r="G50" s="194">
        <v>10</v>
      </c>
      <c r="H50" s="194">
        <v>1</v>
      </c>
      <c r="I50" s="194">
        <v>1</v>
      </c>
      <c r="J50" s="194">
        <v>4</v>
      </c>
      <c r="K50" s="194">
        <v>0.94099999999999995</v>
      </c>
      <c r="L50" s="194">
        <v>1</v>
      </c>
      <c r="M50" s="194">
        <v>8</v>
      </c>
      <c r="N50" s="194">
        <v>0.95</v>
      </c>
      <c r="O50" s="194">
        <v>0.8</v>
      </c>
      <c r="P50" s="194">
        <v>5</v>
      </c>
      <c r="Q50" s="194">
        <v>0.95</v>
      </c>
      <c r="R50" s="194">
        <v>1</v>
      </c>
      <c r="S50" s="194">
        <v>7</v>
      </c>
      <c r="T50" s="194">
        <v>0.96</v>
      </c>
      <c r="U50" s="194">
        <v>1</v>
      </c>
      <c r="V50" s="194">
        <v>8</v>
      </c>
      <c r="W50" s="194">
        <v>0.88500000000000001</v>
      </c>
      <c r="X50" s="194">
        <v>0.9</v>
      </c>
      <c r="Y50" s="194">
        <v>10</v>
      </c>
      <c r="Z50" s="194">
        <v>0.84</v>
      </c>
      <c r="AA50" s="194">
        <v>0.75</v>
      </c>
      <c r="AB50" s="194">
        <v>8</v>
      </c>
      <c r="AC50" s="194">
        <v>0.91700000000000004</v>
      </c>
      <c r="AD50" s="194">
        <v>0.85699999999999998</v>
      </c>
      <c r="AE50" s="194">
        <v>7</v>
      </c>
      <c r="AF50" s="194">
        <v>0.95699999999999996</v>
      </c>
      <c r="AG50" s="194">
        <v>1</v>
      </c>
      <c r="AH50" s="194">
        <v>21</v>
      </c>
      <c r="AI50" s="194">
        <v>0.97499999999999998</v>
      </c>
      <c r="AJ50" s="194">
        <v>0.94699999999999995</v>
      </c>
      <c r="AK50" s="194">
        <v>19</v>
      </c>
      <c r="AL50" s="140"/>
      <c r="AM50" s="140"/>
      <c r="AN50" s="140"/>
      <c r="AO50" s="140"/>
      <c r="AP50" s="140"/>
      <c r="AQ50" s="140"/>
      <c r="AR50" s="140"/>
      <c r="AS50" s="140"/>
      <c r="AT50" s="140"/>
      <c r="AU50" s="140"/>
      <c r="AV50" s="140"/>
      <c r="AW50" s="140"/>
      <c r="AX50" s="140"/>
      <c r="AY50" s="140"/>
      <c r="AZ50" s="140"/>
      <c r="BA50" s="140"/>
      <c r="BB50" s="140"/>
      <c r="BC50" s="140"/>
      <c r="BD50" s="140"/>
      <c r="BE50" s="140"/>
      <c r="BF50" s="140"/>
      <c r="BG50" s="140"/>
      <c r="BH50" s="140"/>
      <c r="BI50" s="140"/>
    </row>
    <row r="51" spans="1:61" x14ac:dyDescent="0.3">
      <c r="A51" s="193" t="s">
        <v>325</v>
      </c>
      <c r="B51" s="194">
        <v>1</v>
      </c>
      <c r="C51" s="194"/>
      <c r="D51" s="194"/>
      <c r="E51" s="194">
        <v>1</v>
      </c>
      <c r="F51" s="194">
        <v>1</v>
      </c>
      <c r="G51" s="194">
        <v>3</v>
      </c>
      <c r="H51" s="194">
        <v>1</v>
      </c>
      <c r="I51" s="194">
        <v>1</v>
      </c>
      <c r="J51" s="194">
        <v>3</v>
      </c>
      <c r="K51" s="194">
        <v>1</v>
      </c>
      <c r="L51" s="194">
        <v>1</v>
      </c>
      <c r="M51" s="194">
        <v>1</v>
      </c>
      <c r="N51" s="194">
        <v>0.875</v>
      </c>
      <c r="O51" s="194">
        <v>1</v>
      </c>
      <c r="P51" s="194">
        <v>3</v>
      </c>
      <c r="Q51" s="194">
        <v>0.9</v>
      </c>
      <c r="R51" s="194">
        <v>0.75</v>
      </c>
      <c r="S51" s="194">
        <v>4</v>
      </c>
      <c r="T51" s="194">
        <v>0.875</v>
      </c>
      <c r="U51" s="194">
        <v>1</v>
      </c>
      <c r="V51" s="194">
        <v>3</v>
      </c>
      <c r="W51" s="194">
        <v>1</v>
      </c>
      <c r="X51" s="194">
        <v>1</v>
      </c>
      <c r="Y51" s="194">
        <v>1</v>
      </c>
      <c r="Z51" s="194">
        <v>1</v>
      </c>
      <c r="AA51" s="194">
        <v>1</v>
      </c>
      <c r="AB51" s="194">
        <v>2</v>
      </c>
      <c r="AC51" s="194">
        <v>1</v>
      </c>
      <c r="AD51" s="194">
        <v>1</v>
      </c>
      <c r="AE51" s="194">
        <v>3</v>
      </c>
      <c r="AF51" s="194">
        <v>1</v>
      </c>
      <c r="AG51" s="194">
        <v>1</v>
      </c>
      <c r="AH51" s="194">
        <v>1</v>
      </c>
      <c r="AI51" s="194">
        <v>1</v>
      </c>
      <c r="AJ51" s="194">
        <v>1</v>
      </c>
      <c r="AK51" s="194">
        <v>2</v>
      </c>
      <c r="AL51" s="140"/>
      <c r="AM51" s="140"/>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row>
    <row r="52" spans="1:61" x14ac:dyDescent="0.3">
      <c r="A52" s="193" t="s">
        <v>478</v>
      </c>
      <c r="B52" s="194">
        <v>0.94199999999999995</v>
      </c>
      <c r="C52" s="194">
        <v>0.875</v>
      </c>
      <c r="D52" s="194">
        <v>24</v>
      </c>
      <c r="E52" s="194">
        <v>0.94299999999999995</v>
      </c>
      <c r="F52" s="194">
        <v>1</v>
      </c>
      <c r="G52" s="194">
        <v>28</v>
      </c>
      <c r="H52" s="194">
        <v>0.97</v>
      </c>
      <c r="I52" s="194">
        <v>0.94399999999999995</v>
      </c>
      <c r="J52" s="194">
        <v>18</v>
      </c>
      <c r="K52" s="194">
        <v>0.96099999999999997</v>
      </c>
      <c r="L52" s="194">
        <v>0.95</v>
      </c>
      <c r="M52" s="194">
        <v>20</v>
      </c>
      <c r="N52" s="194">
        <v>0.96199999999999997</v>
      </c>
      <c r="O52" s="194">
        <v>1</v>
      </c>
      <c r="P52" s="194">
        <v>13</v>
      </c>
      <c r="Q52" s="194">
        <v>0.96399999999999997</v>
      </c>
      <c r="R52" s="194">
        <v>0.95</v>
      </c>
      <c r="S52" s="194">
        <v>20</v>
      </c>
      <c r="T52" s="194">
        <v>0.95099999999999996</v>
      </c>
      <c r="U52" s="194">
        <v>0.95699999999999996</v>
      </c>
      <c r="V52" s="194">
        <v>23</v>
      </c>
      <c r="W52" s="194">
        <v>0.94399999999999995</v>
      </c>
      <c r="X52" s="194">
        <v>0.94399999999999995</v>
      </c>
      <c r="Y52" s="194">
        <v>18</v>
      </c>
      <c r="Z52" s="194">
        <v>0.91800000000000004</v>
      </c>
      <c r="AA52" s="194">
        <v>0.92300000000000004</v>
      </c>
      <c r="AB52" s="194">
        <v>13</v>
      </c>
      <c r="AC52" s="194">
        <v>0.89100000000000001</v>
      </c>
      <c r="AD52" s="194">
        <v>0.9</v>
      </c>
      <c r="AE52" s="194">
        <v>30</v>
      </c>
      <c r="AF52" s="194">
        <v>0.88</v>
      </c>
      <c r="AG52" s="194">
        <v>0.85699999999999998</v>
      </c>
      <c r="AH52" s="194">
        <v>21</v>
      </c>
      <c r="AI52" s="194">
        <v>0.86799999999999999</v>
      </c>
      <c r="AJ52" s="194">
        <v>0.875</v>
      </c>
      <c r="AK52" s="194">
        <v>32</v>
      </c>
      <c r="AL52" s="140"/>
      <c r="AM52" s="140"/>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row>
    <row r="53" spans="1:61" x14ac:dyDescent="0.3">
      <c r="A53" s="193" t="s">
        <v>474</v>
      </c>
      <c r="B53" s="194">
        <v>0.96</v>
      </c>
      <c r="C53" s="194">
        <v>0.92300000000000004</v>
      </c>
      <c r="D53" s="194">
        <v>13</v>
      </c>
      <c r="E53" s="194">
        <v>0.91700000000000004</v>
      </c>
      <c r="F53" s="194">
        <v>1</v>
      </c>
      <c r="G53" s="194">
        <v>12</v>
      </c>
      <c r="H53" s="194">
        <v>0.91400000000000003</v>
      </c>
      <c r="I53" s="194">
        <v>0.81799999999999995</v>
      </c>
      <c r="J53" s="194">
        <v>11</v>
      </c>
      <c r="K53" s="194">
        <v>0.91200000000000003</v>
      </c>
      <c r="L53" s="194">
        <v>0.91700000000000004</v>
      </c>
      <c r="M53" s="194">
        <v>12</v>
      </c>
      <c r="N53" s="194">
        <v>0.96799999999999997</v>
      </c>
      <c r="O53" s="194">
        <v>1</v>
      </c>
      <c r="P53" s="194">
        <v>11</v>
      </c>
      <c r="Q53" s="194">
        <v>1</v>
      </c>
      <c r="R53" s="194">
        <v>1</v>
      </c>
      <c r="S53" s="194">
        <v>8</v>
      </c>
      <c r="T53" s="194">
        <v>1</v>
      </c>
      <c r="U53" s="194">
        <v>1</v>
      </c>
      <c r="V53" s="194">
        <v>7</v>
      </c>
      <c r="W53" s="194">
        <v>1</v>
      </c>
      <c r="X53" s="194">
        <v>1</v>
      </c>
      <c r="Y53" s="194">
        <v>9</v>
      </c>
      <c r="Z53" s="194">
        <v>0.9</v>
      </c>
      <c r="AA53" s="194">
        <v>1</v>
      </c>
      <c r="AB53" s="194">
        <v>13</v>
      </c>
      <c r="AC53" s="194">
        <v>0.86699999999999999</v>
      </c>
      <c r="AD53" s="194">
        <v>0.625</v>
      </c>
      <c r="AE53" s="194">
        <v>8</v>
      </c>
      <c r="AF53" s="194">
        <v>0.82799999999999996</v>
      </c>
      <c r="AG53" s="194">
        <v>0.88900000000000001</v>
      </c>
      <c r="AH53" s="194">
        <v>9</v>
      </c>
      <c r="AI53" s="194">
        <v>0.90500000000000003</v>
      </c>
      <c r="AJ53" s="194">
        <v>0.91700000000000004</v>
      </c>
      <c r="AK53" s="194">
        <v>12</v>
      </c>
      <c r="AL53" s="140"/>
      <c r="AM53" s="140"/>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row>
    <row r="54" spans="1:61" x14ac:dyDescent="0.3">
      <c r="A54" s="193" t="s">
        <v>532</v>
      </c>
      <c r="B54" s="194">
        <v>1</v>
      </c>
      <c r="C54" s="194">
        <v>1</v>
      </c>
      <c r="D54" s="194">
        <v>27</v>
      </c>
      <c r="E54" s="194">
        <v>0.98899999999999999</v>
      </c>
      <c r="F54" s="194">
        <v>1</v>
      </c>
      <c r="G54" s="194">
        <v>21</v>
      </c>
      <c r="H54" s="194">
        <v>0.97599999999999998</v>
      </c>
      <c r="I54" s="194">
        <v>0.97499999999999998</v>
      </c>
      <c r="J54" s="194">
        <v>40</v>
      </c>
      <c r="K54" s="194">
        <v>0.96299999999999997</v>
      </c>
      <c r="L54" s="194">
        <v>0.95799999999999996</v>
      </c>
      <c r="M54" s="194">
        <v>24</v>
      </c>
      <c r="N54" s="194">
        <v>0.96899999999999997</v>
      </c>
      <c r="O54" s="194">
        <v>0.94099999999999995</v>
      </c>
      <c r="P54" s="194">
        <v>17</v>
      </c>
      <c r="Q54" s="194">
        <v>0.95499999999999996</v>
      </c>
      <c r="R54" s="194">
        <v>1</v>
      </c>
      <c r="S54" s="194">
        <v>24</v>
      </c>
      <c r="T54" s="194">
        <v>0.95599999999999996</v>
      </c>
      <c r="U54" s="194">
        <v>0.92</v>
      </c>
      <c r="V54" s="194">
        <v>25</v>
      </c>
      <c r="W54" s="194">
        <v>0.93</v>
      </c>
      <c r="X54" s="194">
        <v>0.94699999999999995</v>
      </c>
      <c r="Y54" s="194">
        <v>19</v>
      </c>
      <c r="Z54" s="194">
        <v>0.96599999999999997</v>
      </c>
      <c r="AA54" s="194">
        <v>0.92300000000000004</v>
      </c>
      <c r="AB54" s="194">
        <v>13</v>
      </c>
      <c r="AC54" s="194">
        <v>0.98599999999999999</v>
      </c>
      <c r="AD54" s="194">
        <v>1</v>
      </c>
      <c r="AE54" s="194">
        <v>27</v>
      </c>
      <c r="AF54" s="194">
        <v>0.97799999999999998</v>
      </c>
      <c r="AG54" s="194">
        <v>1</v>
      </c>
      <c r="AH54" s="194">
        <v>30</v>
      </c>
      <c r="AI54" s="194">
        <v>0.96799999999999997</v>
      </c>
      <c r="AJ54" s="194">
        <v>0.93899999999999995</v>
      </c>
      <c r="AK54" s="194">
        <v>33</v>
      </c>
      <c r="AL54" s="140"/>
      <c r="AM54" s="140"/>
      <c r="AN54" s="140"/>
      <c r="AO54" s="140"/>
      <c r="AP54" s="140"/>
      <c r="AQ54" s="140"/>
      <c r="AR54" s="140"/>
      <c r="AS54" s="140"/>
      <c r="AT54" s="140"/>
      <c r="AU54" s="140"/>
      <c r="AV54" s="140"/>
      <c r="AW54" s="140"/>
      <c r="AX54" s="140"/>
      <c r="AY54" s="140"/>
      <c r="AZ54" s="140"/>
      <c r="BA54" s="140"/>
      <c r="BB54" s="140"/>
      <c r="BC54" s="140"/>
      <c r="BD54" s="140"/>
      <c r="BE54" s="140"/>
      <c r="BF54" s="140"/>
      <c r="BG54" s="140"/>
      <c r="BH54" s="140"/>
      <c r="BI54" s="140"/>
    </row>
    <row r="55" spans="1:61" x14ac:dyDescent="0.3">
      <c r="A55" s="193" t="s">
        <v>429</v>
      </c>
      <c r="B55" s="194">
        <v>1</v>
      </c>
      <c r="C55" s="194">
        <v>1</v>
      </c>
      <c r="D55" s="194">
        <v>20</v>
      </c>
      <c r="E55" s="194">
        <v>1</v>
      </c>
      <c r="F55" s="194">
        <v>1</v>
      </c>
      <c r="G55" s="194">
        <v>21</v>
      </c>
      <c r="H55" s="194">
        <v>1</v>
      </c>
      <c r="I55" s="194">
        <v>1</v>
      </c>
      <c r="J55" s="194">
        <v>25</v>
      </c>
      <c r="K55" s="194">
        <v>1</v>
      </c>
      <c r="L55" s="194">
        <v>1</v>
      </c>
      <c r="M55" s="194">
        <v>17</v>
      </c>
      <c r="N55" s="194">
        <v>1</v>
      </c>
      <c r="O55" s="194">
        <v>1</v>
      </c>
      <c r="P55" s="194">
        <v>21</v>
      </c>
      <c r="Q55" s="194">
        <v>1</v>
      </c>
      <c r="R55" s="194">
        <v>1</v>
      </c>
      <c r="S55" s="194">
        <v>25</v>
      </c>
      <c r="T55" s="194">
        <v>0.97099999999999997</v>
      </c>
      <c r="U55" s="194">
        <v>1</v>
      </c>
      <c r="V55" s="194">
        <v>24</v>
      </c>
      <c r="W55" s="194">
        <v>0.97499999999999998</v>
      </c>
      <c r="X55" s="194">
        <v>0.89500000000000002</v>
      </c>
      <c r="Y55" s="194">
        <v>19</v>
      </c>
      <c r="Z55" s="194">
        <v>0.96199999999999997</v>
      </c>
      <c r="AA55" s="194">
        <v>1</v>
      </c>
      <c r="AB55" s="194">
        <v>36</v>
      </c>
      <c r="AC55" s="194">
        <v>0.98899999999999999</v>
      </c>
      <c r="AD55" s="194">
        <v>0.95799999999999996</v>
      </c>
      <c r="AE55" s="194">
        <v>24</v>
      </c>
      <c r="AF55" s="194">
        <v>0.97699999999999998</v>
      </c>
      <c r="AG55" s="194">
        <v>1</v>
      </c>
      <c r="AH55" s="194">
        <v>30</v>
      </c>
      <c r="AI55" s="194">
        <v>0.98399999999999999</v>
      </c>
      <c r="AJ55" s="194">
        <v>0.97</v>
      </c>
      <c r="AK55" s="194">
        <v>33</v>
      </c>
      <c r="AL55" s="140"/>
      <c r="AM55" s="140"/>
      <c r="AN55" s="140"/>
      <c r="AO55" s="140"/>
      <c r="AP55" s="140"/>
      <c r="AQ55" s="140"/>
      <c r="AR55" s="140"/>
      <c r="AS55" s="140"/>
      <c r="AT55" s="140"/>
      <c r="AU55" s="140"/>
      <c r="AV55" s="140"/>
      <c r="AW55" s="140"/>
      <c r="AX55" s="140"/>
      <c r="AY55" s="140"/>
      <c r="AZ55" s="140"/>
      <c r="BA55" s="140"/>
      <c r="BB55" s="140"/>
      <c r="BC55" s="140"/>
      <c r="BD55" s="140"/>
      <c r="BE55" s="140"/>
      <c r="BF55" s="140"/>
      <c r="BG55" s="140"/>
      <c r="BH55" s="140"/>
      <c r="BI55" s="140"/>
    </row>
    <row r="56" spans="1:61" x14ac:dyDescent="0.3">
      <c r="A56" s="193" t="s">
        <v>339</v>
      </c>
      <c r="B56" s="194">
        <v>0.92900000000000005</v>
      </c>
      <c r="C56" s="194">
        <v>0.88900000000000001</v>
      </c>
      <c r="D56" s="194">
        <v>9</v>
      </c>
      <c r="E56" s="194">
        <v>0.94699999999999995</v>
      </c>
      <c r="F56" s="194">
        <v>1</v>
      </c>
      <c r="G56" s="194">
        <v>5</v>
      </c>
      <c r="H56" s="194">
        <v>1</v>
      </c>
      <c r="I56" s="194">
        <v>1</v>
      </c>
      <c r="J56" s="194">
        <v>5</v>
      </c>
      <c r="K56" s="194">
        <v>1</v>
      </c>
      <c r="L56" s="194">
        <v>1</v>
      </c>
      <c r="M56" s="194">
        <v>3</v>
      </c>
      <c r="N56" s="194">
        <v>1</v>
      </c>
      <c r="O56" s="194">
        <v>1</v>
      </c>
      <c r="P56" s="194">
        <v>4</v>
      </c>
      <c r="Q56" s="194">
        <v>1</v>
      </c>
      <c r="R56" s="194">
        <v>1</v>
      </c>
      <c r="S56" s="194">
        <v>2</v>
      </c>
      <c r="T56" s="194">
        <v>1</v>
      </c>
      <c r="U56" s="194">
        <v>1</v>
      </c>
      <c r="V56" s="194">
        <v>3</v>
      </c>
      <c r="W56" s="194">
        <v>1</v>
      </c>
      <c r="X56" s="194">
        <v>1</v>
      </c>
      <c r="Y56" s="194">
        <v>5</v>
      </c>
      <c r="Z56" s="194">
        <v>1</v>
      </c>
      <c r="AA56" s="194">
        <v>1</v>
      </c>
      <c r="AB56" s="194">
        <v>8</v>
      </c>
      <c r="AC56" s="194">
        <v>0.95799999999999996</v>
      </c>
      <c r="AD56" s="194">
        <v>1</v>
      </c>
      <c r="AE56" s="194">
        <v>5</v>
      </c>
      <c r="AF56" s="194">
        <v>0.96299999999999997</v>
      </c>
      <c r="AG56" s="194">
        <v>0.90900000000000003</v>
      </c>
      <c r="AH56" s="194">
        <v>11</v>
      </c>
      <c r="AI56" s="194">
        <v>0.95499999999999996</v>
      </c>
      <c r="AJ56" s="194">
        <v>1</v>
      </c>
      <c r="AK56" s="194">
        <v>11</v>
      </c>
      <c r="AL56" s="140"/>
      <c r="AM56" s="140"/>
      <c r="AN56" s="140"/>
      <c r="AO56" s="140"/>
      <c r="AP56" s="140"/>
      <c r="AQ56" s="140"/>
      <c r="AR56" s="140"/>
      <c r="AS56" s="140"/>
      <c r="AT56" s="140"/>
      <c r="AU56" s="140"/>
      <c r="AV56" s="140"/>
      <c r="AW56" s="140"/>
      <c r="AX56" s="140"/>
      <c r="AY56" s="140"/>
      <c r="AZ56" s="140"/>
      <c r="BA56" s="140"/>
      <c r="BB56" s="140"/>
      <c r="BC56" s="140"/>
      <c r="BD56" s="140"/>
      <c r="BE56" s="140"/>
      <c r="BF56" s="140"/>
      <c r="BG56" s="140"/>
      <c r="BH56" s="140"/>
      <c r="BI56" s="140"/>
    </row>
    <row r="57" spans="1:61" x14ac:dyDescent="0.3">
      <c r="A57" s="193" t="s">
        <v>318</v>
      </c>
      <c r="B57" s="194">
        <v>1</v>
      </c>
      <c r="C57" s="194">
        <v>1</v>
      </c>
      <c r="D57" s="194">
        <v>5</v>
      </c>
      <c r="E57" s="194">
        <v>1</v>
      </c>
      <c r="F57" s="194">
        <v>1</v>
      </c>
      <c r="G57" s="194">
        <v>7</v>
      </c>
      <c r="H57" s="194">
        <v>1</v>
      </c>
      <c r="I57" s="194">
        <v>1</v>
      </c>
      <c r="J57" s="194">
        <v>6</v>
      </c>
      <c r="K57" s="194">
        <v>1</v>
      </c>
      <c r="L57" s="194">
        <v>1</v>
      </c>
      <c r="M57" s="194">
        <v>5</v>
      </c>
      <c r="N57" s="194">
        <v>1</v>
      </c>
      <c r="O57" s="194">
        <v>1</v>
      </c>
      <c r="P57" s="194">
        <v>2</v>
      </c>
      <c r="Q57" s="194">
        <v>1</v>
      </c>
      <c r="R57" s="194">
        <v>1</v>
      </c>
      <c r="S57" s="194">
        <v>16</v>
      </c>
      <c r="T57" s="194">
        <v>1</v>
      </c>
      <c r="U57" s="194">
        <v>1</v>
      </c>
      <c r="V57" s="194">
        <v>8</v>
      </c>
      <c r="W57" s="194">
        <v>1</v>
      </c>
      <c r="X57" s="194">
        <v>1</v>
      </c>
      <c r="Y57" s="194">
        <v>12</v>
      </c>
      <c r="Z57" s="194">
        <v>1</v>
      </c>
      <c r="AA57" s="194">
        <v>1</v>
      </c>
      <c r="AB57" s="194">
        <v>7</v>
      </c>
      <c r="AC57" s="194">
        <v>1</v>
      </c>
      <c r="AD57" s="194">
        <v>1</v>
      </c>
      <c r="AE57" s="194">
        <v>11</v>
      </c>
      <c r="AF57" s="194">
        <v>1</v>
      </c>
      <c r="AG57" s="194">
        <v>1</v>
      </c>
      <c r="AH57" s="194">
        <v>15</v>
      </c>
      <c r="AI57" s="194">
        <v>1</v>
      </c>
      <c r="AJ57" s="194">
        <v>1</v>
      </c>
      <c r="AK57" s="194">
        <v>9</v>
      </c>
      <c r="AL57" s="140"/>
      <c r="AM57" s="140"/>
      <c r="AN57" s="140"/>
      <c r="AO57" s="140"/>
      <c r="AP57" s="140"/>
      <c r="AQ57" s="140"/>
      <c r="AR57" s="140"/>
      <c r="AS57" s="140"/>
      <c r="AT57" s="140"/>
      <c r="AU57" s="140"/>
      <c r="AV57" s="140"/>
      <c r="AW57" s="140"/>
      <c r="AX57" s="140"/>
      <c r="AY57" s="140"/>
      <c r="AZ57" s="140"/>
      <c r="BA57" s="140"/>
      <c r="BB57" s="140"/>
      <c r="BC57" s="140"/>
      <c r="BD57" s="140"/>
      <c r="BE57" s="140"/>
      <c r="BF57" s="140"/>
      <c r="BG57" s="140"/>
      <c r="BH57" s="140"/>
      <c r="BI57" s="140"/>
    </row>
    <row r="58" spans="1:61" x14ac:dyDescent="0.3">
      <c r="A58" s="193" t="s">
        <v>384</v>
      </c>
      <c r="B58" s="194">
        <v>0.93200000000000005</v>
      </c>
      <c r="C58" s="194">
        <v>0.96</v>
      </c>
      <c r="D58" s="194">
        <v>25</v>
      </c>
      <c r="E58" s="194">
        <v>0.93200000000000005</v>
      </c>
      <c r="F58" s="194">
        <v>0.91200000000000003</v>
      </c>
      <c r="G58" s="194">
        <v>34</v>
      </c>
      <c r="H58" s="194">
        <v>0.92900000000000005</v>
      </c>
      <c r="I58" s="194">
        <v>0.93100000000000005</v>
      </c>
      <c r="J58" s="194">
        <v>29</v>
      </c>
      <c r="K58" s="194">
        <v>0.88900000000000001</v>
      </c>
      <c r="L58" s="194">
        <v>0.95499999999999996</v>
      </c>
      <c r="M58" s="194">
        <v>22</v>
      </c>
      <c r="N58" s="194">
        <v>0.89600000000000002</v>
      </c>
      <c r="O58" s="194">
        <v>0.76200000000000001</v>
      </c>
      <c r="P58" s="194">
        <v>21</v>
      </c>
      <c r="Q58" s="194">
        <v>0.877</v>
      </c>
      <c r="R58" s="194">
        <v>0.95799999999999996</v>
      </c>
      <c r="S58" s="194">
        <v>24</v>
      </c>
      <c r="T58" s="194">
        <v>0.89600000000000002</v>
      </c>
      <c r="U58" s="194">
        <v>0.89300000000000002</v>
      </c>
      <c r="V58" s="194">
        <v>28</v>
      </c>
      <c r="W58" s="194">
        <v>0.87</v>
      </c>
      <c r="X58" s="194">
        <v>0.84</v>
      </c>
      <c r="Y58" s="194">
        <v>25</v>
      </c>
      <c r="Z58" s="194">
        <v>0.82899999999999996</v>
      </c>
      <c r="AA58" s="194">
        <v>0.875</v>
      </c>
      <c r="AB58" s="194">
        <v>24</v>
      </c>
      <c r="AC58" s="194">
        <v>0.84099999999999997</v>
      </c>
      <c r="AD58" s="194">
        <v>0.77800000000000002</v>
      </c>
      <c r="AE58" s="194">
        <v>27</v>
      </c>
      <c r="AF58" s="194">
        <v>0.78400000000000003</v>
      </c>
      <c r="AG58" s="194">
        <v>0.91700000000000004</v>
      </c>
      <c r="AH58" s="194">
        <v>12</v>
      </c>
      <c r="AI58" s="194">
        <v>0.79200000000000004</v>
      </c>
      <c r="AJ58" s="194">
        <v>0.66700000000000004</v>
      </c>
      <c r="AK58" s="194">
        <v>12</v>
      </c>
      <c r="AL58" s="140"/>
      <c r="AM58" s="140"/>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row>
    <row r="59" spans="1:61" x14ac:dyDescent="0.3">
      <c r="A59" s="193" t="s">
        <v>464</v>
      </c>
      <c r="B59" s="194">
        <v>1</v>
      </c>
      <c r="C59" s="194">
        <v>1</v>
      </c>
      <c r="D59" s="194">
        <v>3</v>
      </c>
      <c r="E59" s="194">
        <v>1</v>
      </c>
      <c r="F59" s="194">
        <v>1</v>
      </c>
      <c r="G59" s="194">
        <v>13</v>
      </c>
      <c r="H59" s="194">
        <v>1</v>
      </c>
      <c r="I59" s="194">
        <v>1</v>
      </c>
      <c r="J59" s="194">
        <v>12</v>
      </c>
      <c r="K59" s="194">
        <v>1</v>
      </c>
      <c r="L59" s="194">
        <v>1</v>
      </c>
      <c r="M59" s="194">
        <v>14</v>
      </c>
      <c r="N59" s="194">
        <v>1</v>
      </c>
      <c r="O59" s="194">
        <v>1</v>
      </c>
      <c r="P59" s="194">
        <v>11</v>
      </c>
      <c r="Q59" s="194">
        <v>0.93500000000000005</v>
      </c>
      <c r="R59" s="194">
        <v>1</v>
      </c>
      <c r="S59" s="194">
        <v>10</v>
      </c>
      <c r="T59" s="194">
        <v>0.92300000000000004</v>
      </c>
      <c r="U59" s="194">
        <v>0.8</v>
      </c>
      <c r="V59" s="194">
        <v>10</v>
      </c>
      <c r="W59" s="194">
        <v>0.93500000000000005</v>
      </c>
      <c r="X59" s="194">
        <v>1</v>
      </c>
      <c r="Y59" s="194">
        <v>6</v>
      </c>
      <c r="Z59" s="194">
        <v>1</v>
      </c>
      <c r="AA59" s="194">
        <v>1</v>
      </c>
      <c r="AB59" s="194">
        <v>15</v>
      </c>
      <c r="AC59" s="194">
        <v>1</v>
      </c>
      <c r="AD59" s="194">
        <v>1</v>
      </c>
      <c r="AE59" s="194">
        <v>5</v>
      </c>
      <c r="AF59" s="194">
        <v>0.95</v>
      </c>
      <c r="AG59" s="194">
        <v>1</v>
      </c>
      <c r="AH59" s="194">
        <v>8</v>
      </c>
      <c r="AI59" s="194">
        <v>0.93300000000000005</v>
      </c>
      <c r="AJ59" s="194">
        <v>0.85699999999999998</v>
      </c>
      <c r="AK59" s="194">
        <v>7</v>
      </c>
      <c r="AL59" s="140"/>
      <c r="AM59" s="140"/>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row>
    <row r="60" spans="1:61" x14ac:dyDescent="0.3">
      <c r="A60" s="193" t="s">
        <v>439</v>
      </c>
      <c r="B60" s="194">
        <v>0.98299999999999998</v>
      </c>
      <c r="C60" s="194">
        <v>1</v>
      </c>
      <c r="D60" s="194">
        <v>36</v>
      </c>
      <c r="E60" s="194">
        <v>0.98899999999999999</v>
      </c>
      <c r="F60" s="194">
        <v>0.95699999999999996</v>
      </c>
      <c r="G60" s="194">
        <v>23</v>
      </c>
      <c r="H60" s="194">
        <v>0.97299999999999998</v>
      </c>
      <c r="I60" s="194">
        <v>1</v>
      </c>
      <c r="J60" s="194">
        <v>28</v>
      </c>
      <c r="K60" s="194">
        <v>0.94399999999999995</v>
      </c>
      <c r="L60" s="194">
        <v>0.95499999999999996</v>
      </c>
      <c r="M60" s="194">
        <v>22</v>
      </c>
      <c r="N60" s="194">
        <v>0.94899999999999995</v>
      </c>
      <c r="O60" s="194">
        <v>0.86399999999999999</v>
      </c>
      <c r="P60" s="194">
        <v>22</v>
      </c>
      <c r="Q60" s="194">
        <v>0.93700000000000006</v>
      </c>
      <c r="R60" s="194">
        <v>1</v>
      </c>
      <c r="S60" s="194">
        <v>34</v>
      </c>
      <c r="T60" s="194">
        <v>0.94099999999999995</v>
      </c>
      <c r="U60" s="194">
        <v>0.92300000000000004</v>
      </c>
      <c r="V60" s="194">
        <v>39</v>
      </c>
      <c r="W60" s="194">
        <v>0.93200000000000005</v>
      </c>
      <c r="X60" s="194">
        <v>0.89700000000000002</v>
      </c>
      <c r="Y60" s="194">
        <v>29</v>
      </c>
      <c r="Z60" s="194">
        <v>0.94399999999999995</v>
      </c>
      <c r="AA60" s="194">
        <v>1</v>
      </c>
      <c r="AB60" s="194">
        <v>20</v>
      </c>
      <c r="AC60" s="194">
        <v>0.98599999999999999</v>
      </c>
      <c r="AD60" s="194">
        <v>0.95699999999999996</v>
      </c>
      <c r="AE60" s="194">
        <v>23</v>
      </c>
      <c r="AF60" s="194">
        <v>0.97599999999999998</v>
      </c>
      <c r="AG60" s="194">
        <v>1</v>
      </c>
      <c r="AH60" s="194">
        <v>31</v>
      </c>
      <c r="AI60" s="194">
        <v>0.98399999999999999</v>
      </c>
      <c r="AJ60" s="194">
        <v>0.96799999999999997</v>
      </c>
      <c r="AK60" s="194">
        <v>31</v>
      </c>
      <c r="AL60" s="140"/>
      <c r="AM60" s="140"/>
      <c r="AN60" s="140"/>
      <c r="AO60" s="140"/>
      <c r="AP60" s="140"/>
      <c r="AQ60" s="140"/>
      <c r="AR60" s="140"/>
      <c r="AS60" s="140"/>
      <c r="AT60" s="140"/>
      <c r="AU60" s="140"/>
      <c r="AV60" s="140"/>
      <c r="AW60" s="140"/>
      <c r="AX60" s="140"/>
      <c r="AY60" s="140"/>
      <c r="AZ60" s="140"/>
      <c r="BA60" s="140"/>
      <c r="BB60" s="140"/>
      <c r="BC60" s="140"/>
      <c r="BD60" s="140"/>
      <c r="BE60" s="140"/>
      <c r="BF60" s="140"/>
      <c r="BG60" s="140"/>
      <c r="BH60" s="140"/>
      <c r="BI60" s="140"/>
    </row>
    <row r="61" spans="1:61" x14ac:dyDescent="0.3">
      <c r="A61" s="193" t="s">
        <v>522</v>
      </c>
      <c r="B61" s="194">
        <v>1</v>
      </c>
      <c r="C61" s="194">
        <v>1</v>
      </c>
      <c r="D61" s="194">
        <v>9</v>
      </c>
      <c r="E61" s="194">
        <v>1</v>
      </c>
      <c r="F61" s="194">
        <v>1</v>
      </c>
      <c r="G61" s="194">
        <v>12</v>
      </c>
      <c r="H61" s="194">
        <v>1</v>
      </c>
      <c r="I61" s="194">
        <v>1</v>
      </c>
      <c r="J61" s="194">
        <v>15</v>
      </c>
      <c r="K61" s="194">
        <v>1</v>
      </c>
      <c r="L61" s="194">
        <v>1</v>
      </c>
      <c r="M61" s="194">
        <v>16</v>
      </c>
      <c r="N61" s="194">
        <v>1</v>
      </c>
      <c r="O61" s="194">
        <v>1</v>
      </c>
      <c r="P61" s="194">
        <v>15</v>
      </c>
      <c r="Q61" s="194">
        <v>0.97699999999999998</v>
      </c>
      <c r="R61" s="194">
        <v>1</v>
      </c>
      <c r="S61" s="194">
        <v>11</v>
      </c>
      <c r="T61" s="194">
        <v>0.95699999999999996</v>
      </c>
      <c r="U61" s="194">
        <v>0.94099999999999995</v>
      </c>
      <c r="V61" s="194">
        <v>17</v>
      </c>
      <c r="W61" s="194">
        <v>0.95699999999999996</v>
      </c>
      <c r="X61" s="194">
        <v>0.94699999999999995</v>
      </c>
      <c r="Y61" s="194">
        <v>19</v>
      </c>
      <c r="Z61" s="194">
        <v>0.92300000000000004</v>
      </c>
      <c r="AA61" s="194">
        <v>1</v>
      </c>
      <c r="AB61" s="194">
        <v>11</v>
      </c>
      <c r="AC61" s="194">
        <v>0.94199999999999995</v>
      </c>
      <c r="AD61" s="194">
        <v>0.86399999999999999</v>
      </c>
      <c r="AE61" s="194">
        <v>22</v>
      </c>
      <c r="AF61" s="194">
        <v>0.94699999999999995</v>
      </c>
      <c r="AG61" s="194">
        <v>1</v>
      </c>
      <c r="AH61" s="194">
        <v>19</v>
      </c>
      <c r="AI61" s="194">
        <v>1</v>
      </c>
      <c r="AJ61" s="194">
        <v>1</v>
      </c>
      <c r="AK61" s="194">
        <v>16</v>
      </c>
      <c r="AL61" s="140"/>
      <c r="AM61" s="140"/>
      <c r="AN61" s="140"/>
      <c r="AO61" s="140"/>
      <c r="AP61" s="140"/>
      <c r="AQ61" s="140"/>
      <c r="AR61" s="140"/>
      <c r="AS61" s="140"/>
      <c r="AT61" s="140"/>
      <c r="AU61" s="140"/>
      <c r="AV61" s="140"/>
      <c r="AW61" s="140"/>
      <c r="AX61" s="140"/>
      <c r="AY61" s="140"/>
      <c r="AZ61" s="140"/>
      <c r="BA61" s="140"/>
      <c r="BB61" s="140"/>
      <c r="BC61" s="140"/>
      <c r="BD61" s="140"/>
      <c r="BE61" s="140"/>
      <c r="BF61" s="140"/>
      <c r="BG61" s="140"/>
      <c r="BH61" s="140"/>
      <c r="BI61" s="140"/>
    </row>
    <row r="62" spans="1:61" x14ac:dyDescent="0.3">
      <c r="A62" s="193" t="s">
        <v>508</v>
      </c>
      <c r="B62" s="194">
        <v>1</v>
      </c>
      <c r="C62" s="194">
        <v>1</v>
      </c>
      <c r="D62" s="194">
        <v>3</v>
      </c>
      <c r="E62" s="194">
        <v>1</v>
      </c>
      <c r="F62" s="194">
        <v>1</v>
      </c>
      <c r="G62" s="194">
        <v>2</v>
      </c>
      <c r="H62" s="194">
        <v>1</v>
      </c>
      <c r="I62" s="194">
        <v>1</v>
      </c>
      <c r="J62" s="194">
        <v>3</v>
      </c>
      <c r="K62" s="194">
        <v>1</v>
      </c>
      <c r="L62" s="194">
        <v>1</v>
      </c>
      <c r="M62" s="194">
        <v>1</v>
      </c>
      <c r="N62" s="194">
        <v>1</v>
      </c>
      <c r="O62" s="194">
        <v>1</v>
      </c>
      <c r="P62" s="194">
        <v>4</v>
      </c>
      <c r="Q62" s="194">
        <v>1</v>
      </c>
      <c r="R62" s="194">
        <v>1</v>
      </c>
      <c r="S62" s="194">
        <v>1</v>
      </c>
      <c r="T62" s="194">
        <v>1</v>
      </c>
      <c r="U62" s="194">
        <v>1</v>
      </c>
      <c r="V62" s="194">
        <v>1</v>
      </c>
      <c r="W62" s="194">
        <v>1</v>
      </c>
      <c r="X62" s="194"/>
      <c r="Y62" s="194"/>
      <c r="Z62" s="194">
        <v>1</v>
      </c>
      <c r="AA62" s="194">
        <v>1</v>
      </c>
      <c r="AB62" s="194">
        <v>1</v>
      </c>
      <c r="AC62" s="194">
        <v>0.83299999999999996</v>
      </c>
      <c r="AD62" s="194">
        <v>1</v>
      </c>
      <c r="AE62" s="194">
        <v>1</v>
      </c>
      <c r="AF62" s="194">
        <v>0.8</v>
      </c>
      <c r="AG62" s="194">
        <v>0.75</v>
      </c>
      <c r="AH62" s="194">
        <v>4</v>
      </c>
      <c r="AI62" s="194">
        <v>0.77800000000000002</v>
      </c>
      <c r="AJ62" s="194">
        <v>0.8</v>
      </c>
      <c r="AK62" s="194">
        <v>5</v>
      </c>
      <c r="AL62" s="140"/>
      <c r="AM62" s="140"/>
      <c r="AN62" s="140"/>
      <c r="AO62" s="140"/>
      <c r="AP62" s="140"/>
      <c r="AQ62" s="140"/>
      <c r="AR62" s="140"/>
      <c r="AS62" s="140"/>
      <c r="AT62" s="140"/>
      <c r="AU62" s="140"/>
      <c r="AV62" s="140"/>
      <c r="AW62" s="140"/>
      <c r="AX62" s="140"/>
      <c r="AY62" s="140"/>
      <c r="AZ62" s="140"/>
      <c r="BA62" s="140"/>
      <c r="BB62" s="140"/>
      <c r="BC62" s="140"/>
      <c r="BD62" s="140"/>
      <c r="BE62" s="140"/>
      <c r="BF62" s="140"/>
      <c r="BG62" s="140"/>
      <c r="BH62" s="140"/>
      <c r="BI62" s="140"/>
    </row>
    <row r="63" spans="1:61" x14ac:dyDescent="0.3">
      <c r="A63" s="193" t="s">
        <v>506</v>
      </c>
      <c r="B63" s="194">
        <v>1</v>
      </c>
      <c r="C63" s="194">
        <v>1</v>
      </c>
      <c r="D63" s="194">
        <v>25</v>
      </c>
      <c r="E63" s="194">
        <v>0.98599999999999999</v>
      </c>
      <c r="F63" s="194">
        <v>1</v>
      </c>
      <c r="G63" s="194">
        <v>24</v>
      </c>
      <c r="H63" s="194">
        <v>0.97299999999999998</v>
      </c>
      <c r="I63" s="194">
        <v>0.95</v>
      </c>
      <c r="J63" s="194">
        <v>20</v>
      </c>
      <c r="K63" s="194">
        <v>0.96899999999999997</v>
      </c>
      <c r="L63" s="194">
        <v>0.96699999999999997</v>
      </c>
      <c r="M63" s="194">
        <v>30</v>
      </c>
      <c r="N63" s="194">
        <v>0.96799999999999997</v>
      </c>
      <c r="O63" s="194">
        <v>1</v>
      </c>
      <c r="P63" s="194">
        <v>15</v>
      </c>
      <c r="Q63" s="194">
        <v>0.94699999999999995</v>
      </c>
      <c r="R63" s="194">
        <v>0.94399999999999995</v>
      </c>
      <c r="S63" s="194">
        <v>18</v>
      </c>
      <c r="T63" s="194">
        <v>0.94</v>
      </c>
      <c r="U63" s="194">
        <v>0.91700000000000004</v>
      </c>
      <c r="V63" s="194">
        <v>24</v>
      </c>
      <c r="W63" s="194">
        <v>0.96099999999999997</v>
      </c>
      <c r="X63" s="194">
        <v>0.96</v>
      </c>
      <c r="Y63" s="194">
        <v>25</v>
      </c>
      <c r="Z63" s="194">
        <v>0.96099999999999997</v>
      </c>
      <c r="AA63" s="194">
        <v>1</v>
      </c>
      <c r="AB63" s="194">
        <v>28</v>
      </c>
      <c r="AC63" s="194">
        <v>0.96899999999999997</v>
      </c>
      <c r="AD63" s="194">
        <v>0.91300000000000003</v>
      </c>
      <c r="AE63" s="194">
        <v>23</v>
      </c>
      <c r="AF63" s="194">
        <v>0.96599999999999997</v>
      </c>
      <c r="AG63" s="194">
        <v>1</v>
      </c>
      <c r="AH63" s="194">
        <v>14</v>
      </c>
      <c r="AI63" s="194">
        <v>1</v>
      </c>
      <c r="AJ63" s="194">
        <v>1</v>
      </c>
      <c r="AK63" s="194">
        <v>21</v>
      </c>
      <c r="AL63" s="140"/>
      <c r="AM63" s="140"/>
      <c r="AN63" s="140"/>
      <c r="AO63" s="140"/>
      <c r="AP63" s="140"/>
      <c r="AQ63" s="140"/>
      <c r="AR63" s="140"/>
      <c r="AS63" s="140"/>
      <c r="AT63" s="140"/>
      <c r="AU63" s="140"/>
      <c r="AV63" s="140"/>
      <c r="AW63" s="140"/>
      <c r="AX63" s="140"/>
      <c r="AY63" s="140"/>
      <c r="AZ63" s="140"/>
      <c r="BA63" s="140"/>
      <c r="BB63" s="140"/>
      <c r="BC63" s="140"/>
      <c r="BD63" s="140"/>
      <c r="BE63" s="140"/>
      <c r="BF63" s="140"/>
      <c r="BG63" s="140"/>
      <c r="BH63" s="140"/>
      <c r="BI63" s="140"/>
    </row>
    <row r="64" spans="1:61" x14ac:dyDescent="0.3">
      <c r="A64" s="193" t="s">
        <v>550</v>
      </c>
      <c r="B64" s="194">
        <v>1</v>
      </c>
      <c r="C64" s="194">
        <v>1</v>
      </c>
      <c r="D64" s="194">
        <v>5</v>
      </c>
      <c r="E64" s="194">
        <v>0.93300000000000005</v>
      </c>
      <c r="F64" s="194">
        <v>1</v>
      </c>
      <c r="G64" s="194">
        <v>2</v>
      </c>
      <c r="H64" s="194">
        <v>0.78900000000000003</v>
      </c>
      <c r="I64" s="194">
        <v>0.875</v>
      </c>
      <c r="J64" s="194">
        <v>8</v>
      </c>
      <c r="K64" s="194">
        <v>0.79200000000000004</v>
      </c>
      <c r="L64" s="194">
        <v>0.66700000000000004</v>
      </c>
      <c r="M64" s="194">
        <v>9</v>
      </c>
      <c r="N64" s="194">
        <v>0.76500000000000001</v>
      </c>
      <c r="O64" s="194">
        <v>0.85699999999999998</v>
      </c>
      <c r="P64" s="194">
        <v>7</v>
      </c>
      <c r="Q64" s="194">
        <v>0.84599999999999997</v>
      </c>
      <c r="R64" s="194">
        <v>1</v>
      </c>
      <c r="S64" s="194">
        <v>1</v>
      </c>
      <c r="T64" s="194">
        <v>0.75</v>
      </c>
      <c r="U64" s="194">
        <v>0.8</v>
      </c>
      <c r="V64" s="194">
        <v>5</v>
      </c>
      <c r="W64" s="194">
        <v>0.75</v>
      </c>
      <c r="X64" s="194">
        <v>0.66700000000000004</v>
      </c>
      <c r="Y64" s="194">
        <v>6</v>
      </c>
      <c r="Z64" s="194">
        <v>0.66700000000000004</v>
      </c>
      <c r="AA64" s="194">
        <v>0.8</v>
      </c>
      <c r="AB64" s="194">
        <v>5</v>
      </c>
      <c r="AC64" s="194">
        <v>0.71399999999999997</v>
      </c>
      <c r="AD64" s="194">
        <v>0.57099999999999995</v>
      </c>
      <c r="AE64" s="194">
        <v>7</v>
      </c>
      <c r="AF64" s="194">
        <v>0.61499999999999999</v>
      </c>
      <c r="AG64" s="194">
        <v>0.77800000000000002</v>
      </c>
      <c r="AH64" s="194">
        <v>9</v>
      </c>
      <c r="AI64" s="194">
        <v>0.63200000000000001</v>
      </c>
      <c r="AJ64" s="194">
        <v>0.5</v>
      </c>
      <c r="AK64" s="194">
        <v>10</v>
      </c>
      <c r="AL64" s="140"/>
      <c r="AM64" s="140"/>
      <c r="AN64" s="140"/>
      <c r="AO64" s="140"/>
      <c r="AP64" s="140"/>
      <c r="AQ64" s="140"/>
      <c r="AR64" s="140"/>
      <c r="AS64" s="140"/>
      <c r="AT64" s="140"/>
      <c r="AU64" s="140"/>
      <c r="AV64" s="140"/>
      <c r="AW64" s="140"/>
      <c r="AX64" s="140"/>
      <c r="AY64" s="140"/>
      <c r="AZ64" s="140"/>
      <c r="BA64" s="140"/>
      <c r="BB64" s="140"/>
      <c r="BC64" s="140"/>
      <c r="BD64" s="140"/>
      <c r="BE64" s="140"/>
      <c r="BF64" s="140"/>
      <c r="BG64" s="140"/>
      <c r="BH64" s="140"/>
      <c r="BI64" s="140"/>
    </row>
    <row r="65" spans="1:61" x14ac:dyDescent="0.3">
      <c r="A65" s="193" t="s">
        <v>356</v>
      </c>
      <c r="B65" s="194">
        <v>0.83299999999999996</v>
      </c>
      <c r="C65" s="194">
        <v>0.75</v>
      </c>
      <c r="D65" s="194">
        <v>8</v>
      </c>
      <c r="E65" s="194">
        <v>0.83299999999999996</v>
      </c>
      <c r="F65" s="194">
        <v>0.9</v>
      </c>
      <c r="G65" s="194">
        <v>10</v>
      </c>
      <c r="H65" s="194">
        <v>0.91300000000000003</v>
      </c>
      <c r="I65" s="194">
        <v>0.83299999999999996</v>
      </c>
      <c r="J65" s="194">
        <v>6</v>
      </c>
      <c r="K65" s="194">
        <v>0.95</v>
      </c>
      <c r="L65" s="194">
        <v>1</v>
      </c>
      <c r="M65" s="194">
        <v>7</v>
      </c>
      <c r="N65" s="194">
        <v>1</v>
      </c>
      <c r="O65" s="194">
        <v>1</v>
      </c>
      <c r="P65" s="194">
        <v>7</v>
      </c>
      <c r="Q65" s="194">
        <v>1</v>
      </c>
      <c r="R65" s="194">
        <v>1</v>
      </c>
      <c r="S65" s="194">
        <v>2</v>
      </c>
      <c r="T65" s="194">
        <v>1</v>
      </c>
      <c r="U65" s="194">
        <v>1</v>
      </c>
      <c r="V65" s="194">
        <v>2</v>
      </c>
      <c r="W65" s="194">
        <v>1</v>
      </c>
      <c r="X65" s="194">
        <v>1</v>
      </c>
      <c r="Y65" s="194">
        <v>8</v>
      </c>
      <c r="Z65" s="194">
        <v>0.93799999999999994</v>
      </c>
      <c r="AA65" s="194">
        <v>1</v>
      </c>
      <c r="AB65" s="194">
        <v>3</v>
      </c>
      <c r="AC65" s="194">
        <v>0.625</v>
      </c>
      <c r="AD65" s="194">
        <v>0.8</v>
      </c>
      <c r="AE65" s="194">
        <v>5</v>
      </c>
      <c r="AF65" s="194">
        <v>0.625</v>
      </c>
      <c r="AG65" s="194">
        <v>0.375</v>
      </c>
      <c r="AH65" s="194">
        <v>8</v>
      </c>
      <c r="AI65" s="194">
        <v>0.54500000000000004</v>
      </c>
      <c r="AJ65" s="194">
        <v>1</v>
      </c>
      <c r="AK65" s="194">
        <v>3</v>
      </c>
      <c r="AL65" s="140"/>
      <c r="AM65" s="140"/>
      <c r="AN65" s="140"/>
      <c r="AO65" s="140"/>
      <c r="AP65" s="140"/>
      <c r="AQ65" s="140"/>
      <c r="AR65" s="140"/>
      <c r="AS65" s="140"/>
      <c r="AT65" s="140"/>
      <c r="AU65" s="140"/>
      <c r="AV65" s="140"/>
      <c r="AW65" s="140"/>
      <c r="AX65" s="140"/>
      <c r="AY65" s="140"/>
      <c r="AZ65" s="140"/>
      <c r="BA65" s="140"/>
      <c r="BB65" s="140"/>
      <c r="BC65" s="140"/>
      <c r="BD65" s="140"/>
      <c r="BE65" s="140"/>
      <c r="BF65" s="140"/>
      <c r="BG65" s="140"/>
      <c r="BH65" s="140"/>
      <c r="BI65" s="140"/>
    </row>
    <row r="66" spans="1:61" x14ac:dyDescent="0.3">
      <c r="A66" s="193" t="s">
        <v>414</v>
      </c>
      <c r="B66" s="194">
        <v>0.93200000000000005</v>
      </c>
      <c r="C66" s="194">
        <v>0.94399999999999995</v>
      </c>
      <c r="D66" s="194">
        <v>36</v>
      </c>
      <c r="E66" s="194">
        <v>0.95099999999999996</v>
      </c>
      <c r="F66" s="194">
        <v>0.91300000000000003</v>
      </c>
      <c r="G66" s="194">
        <v>23</v>
      </c>
      <c r="H66" s="194">
        <v>0.96099999999999997</v>
      </c>
      <c r="I66" s="194">
        <v>0.97699999999999998</v>
      </c>
      <c r="J66" s="194">
        <v>43</v>
      </c>
      <c r="K66" s="194">
        <v>0.98099999999999998</v>
      </c>
      <c r="L66" s="194">
        <v>0.97299999999999998</v>
      </c>
      <c r="M66" s="194">
        <v>37</v>
      </c>
      <c r="N66" s="194">
        <v>0.97799999999999998</v>
      </c>
      <c r="O66" s="194">
        <v>1</v>
      </c>
      <c r="P66" s="194">
        <v>23</v>
      </c>
      <c r="Q66" s="194">
        <v>0.98599999999999999</v>
      </c>
      <c r="R66" s="194">
        <v>0.96699999999999997</v>
      </c>
      <c r="S66" s="194">
        <v>30</v>
      </c>
      <c r="T66" s="194">
        <v>0.97699999999999998</v>
      </c>
      <c r="U66" s="194">
        <v>1</v>
      </c>
      <c r="V66" s="194">
        <v>20</v>
      </c>
      <c r="W66" s="194">
        <v>0.98799999999999999</v>
      </c>
      <c r="X66" s="194">
        <v>0.97299999999999998</v>
      </c>
      <c r="Y66" s="194">
        <v>37</v>
      </c>
      <c r="Z66" s="194">
        <v>0.97399999999999998</v>
      </c>
      <c r="AA66" s="194">
        <v>1</v>
      </c>
      <c r="AB66" s="194">
        <v>25</v>
      </c>
      <c r="AC66" s="194">
        <v>0.98199999999999998</v>
      </c>
      <c r="AD66" s="194">
        <v>0.96199999999999997</v>
      </c>
      <c r="AE66" s="194">
        <v>52</v>
      </c>
      <c r="AF66" s="194">
        <v>0.97499999999999998</v>
      </c>
      <c r="AG66" s="194">
        <v>1</v>
      </c>
      <c r="AH66" s="194">
        <v>32</v>
      </c>
      <c r="AI66" s="194">
        <v>0.98599999999999999</v>
      </c>
      <c r="AJ66" s="194">
        <v>0.97399999999999998</v>
      </c>
      <c r="AK66" s="194">
        <v>38</v>
      </c>
      <c r="AL66" s="140"/>
      <c r="AM66" s="140"/>
      <c r="AN66" s="140"/>
      <c r="AO66" s="140"/>
      <c r="AP66" s="140"/>
      <c r="AQ66" s="140"/>
      <c r="AR66" s="140"/>
      <c r="AS66" s="140"/>
      <c r="AT66" s="140"/>
      <c r="AU66" s="140"/>
      <c r="AV66" s="140"/>
      <c r="AW66" s="140"/>
      <c r="AX66" s="140"/>
      <c r="AY66" s="140"/>
      <c r="AZ66" s="140"/>
      <c r="BA66" s="140"/>
      <c r="BB66" s="140"/>
      <c r="BC66" s="140"/>
      <c r="BD66" s="140"/>
      <c r="BE66" s="140"/>
      <c r="BF66" s="140"/>
      <c r="BG66" s="140"/>
      <c r="BH66" s="140"/>
      <c r="BI66" s="140"/>
    </row>
    <row r="67" spans="1:61" x14ac:dyDescent="0.3">
      <c r="A67" s="193" t="s">
        <v>456</v>
      </c>
      <c r="B67" s="194">
        <v>0.98899999999999999</v>
      </c>
      <c r="C67" s="194">
        <v>1</v>
      </c>
      <c r="D67" s="194">
        <v>47</v>
      </c>
      <c r="E67" s="194">
        <v>0.99199999999999999</v>
      </c>
      <c r="F67" s="194">
        <v>0.97499999999999998</v>
      </c>
      <c r="G67" s="194">
        <v>40</v>
      </c>
      <c r="H67" s="194">
        <v>0.99099999999999999</v>
      </c>
      <c r="I67" s="194">
        <v>1</v>
      </c>
      <c r="J67" s="194">
        <v>42</v>
      </c>
      <c r="K67" s="194">
        <v>1</v>
      </c>
      <c r="L67" s="194">
        <v>1</v>
      </c>
      <c r="M67" s="194">
        <v>27</v>
      </c>
      <c r="N67" s="194">
        <v>1</v>
      </c>
      <c r="O67" s="194">
        <v>1</v>
      </c>
      <c r="P67" s="194">
        <v>39</v>
      </c>
      <c r="Q67" s="194">
        <v>1</v>
      </c>
      <c r="R67" s="194">
        <v>1</v>
      </c>
      <c r="S67" s="194">
        <v>37</v>
      </c>
      <c r="T67" s="194">
        <v>0.99299999999999999</v>
      </c>
      <c r="U67" s="194">
        <v>1</v>
      </c>
      <c r="V67" s="194">
        <v>45</v>
      </c>
      <c r="W67" s="194">
        <v>0.99299999999999999</v>
      </c>
      <c r="X67" s="194">
        <v>0.98399999999999999</v>
      </c>
      <c r="Y67" s="194">
        <v>63</v>
      </c>
      <c r="Z67" s="194">
        <v>0.99299999999999999</v>
      </c>
      <c r="AA67" s="194">
        <v>1</v>
      </c>
      <c r="AB67" s="194">
        <v>39</v>
      </c>
      <c r="AC67" s="194">
        <v>0.98499999999999999</v>
      </c>
      <c r="AD67" s="194">
        <v>1</v>
      </c>
      <c r="AE67" s="194">
        <v>42</v>
      </c>
      <c r="AF67" s="194">
        <v>0.98499999999999999</v>
      </c>
      <c r="AG67" s="194">
        <v>0.96299999999999997</v>
      </c>
      <c r="AH67" s="194">
        <v>54</v>
      </c>
      <c r="AI67" s="194">
        <v>0.97899999999999998</v>
      </c>
      <c r="AJ67" s="194">
        <v>1</v>
      </c>
      <c r="AK67" s="194">
        <v>40</v>
      </c>
      <c r="AL67" s="140"/>
      <c r="AM67" s="140"/>
      <c r="AN67" s="140"/>
      <c r="AO67" s="140"/>
      <c r="AP67" s="140"/>
      <c r="AQ67" s="140"/>
      <c r="AR67" s="140"/>
      <c r="AS67" s="140"/>
      <c r="AT67" s="140"/>
      <c r="AU67" s="140"/>
      <c r="AV67" s="140"/>
      <c r="AW67" s="140"/>
      <c r="AX67" s="140"/>
      <c r="AY67" s="140"/>
      <c r="AZ67" s="140"/>
      <c r="BA67" s="140"/>
      <c r="BB67" s="140"/>
      <c r="BC67" s="140"/>
      <c r="BD67" s="140"/>
      <c r="BE67" s="140"/>
      <c r="BF67" s="140"/>
      <c r="BG67" s="140"/>
      <c r="BH67" s="140"/>
      <c r="BI67" s="140"/>
    </row>
    <row r="68" spans="1:61" x14ac:dyDescent="0.3">
      <c r="A68" s="193" t="s">
        <v>293</v>
      </c>
      <c r="B68" s="194">
        <v>1</v>
      </c>
      <c r="C68" s="194">
        <v>1</v>
      </c>
      <c r="D68" s="194">
        <v>6</v>
      </c>
      <c r="E68" s="194">
        <v>1</v>
      </c>
      <c r="F68" s="194">
        <v>1</v>
      </c>
      <c r="G68" s="194">
        <v>11</v>
      </c>
      <c r="H68" s="194">
        <v>1</v>
      </c>
      <c r="I68" s="194">
        <v>1</v>
      </c>
      <c r="J68" s="194">
        <v>4</v>
      </c>
      <c r="K68" s="194">
        <v>1</v>
      </c>
      <c r="L68" s="194">
        <v>1</v>
      </c>
      <c r="M68" s="194">
        <v>3</v>
      </c>
      <c r="N68" s="194">
        <v>0.96699999999999997</v>
      </c>
      <c r="O68" s="194">
        <v>1</v>
      </c>
      <c r="P68" s="194">
        <v>8</v>
      </c>
      <c r="Q68" s="194">
        <v>0.97599999999999998</v>
      </c>
      <c r="R68" s="194">
        <v>0.94699999999999995</v>
      </c>
      <c r="S68" s="194">
        <v>19</v>
      </c>
      <c r="T68" s="194">
        <v>0.97399999999999998</v>
      </c>
      <c r="U68" s="194">
        <v>1</v>
      </c>
      <c r="V68" s="194">
        <v>14</v>
      </c>
      <c r="W68" s="194">
        <v>0.93300000000000005</v>
      </c>
      <c r="X68" s="194">
        <v>1</v>
      </c>
      <c r="Y68" s="194">
        <v>5</v>
      </c>
      <c r="Z68" s="194">
        <v>0.90500000000000003</v>
      </c>
      <c r="AA68" s="194">
        <v>0.81799999999999995</v>
      </c>
      <c r="AB68" s="194">
        <v>11</v>
      </c>
      <c r="AC68" s="194">
        <v>0.84199999999999997</v>
      </c>
      <c r="AD68" s="194">
        <v>1</v>
      </c>
      <c r="AE68" s="194">
        <v>5</v>
      </c>
      <c r="AF68" s="194">
        <v>0.90900000000000003</v>
      </c>
      <c r="AG68" s="194">
        <v>0.66700000000000004</v>
      </c>
      <c r="AH68" s="194">
        <v>3</v>
      </c>
      <c r="AI68" s="194">
        <v>0.83299999999999996</v>
      </c>
      <c r="AJ68" s="194">
        <v>1</v>
      </c>
      <c r="AK68" s="194">
        <v>3</v>
      </c>
      <c r="AL68" s="140"/>
      <c r="AM68" s="140"/>
      <c r="AN68" s="140"/>
      <c r="AO68" s="140"/>
      <c r="AP68" s="140"/>
      <c r="AQ68" s="140"/>
      <c r="AR68" s="140"/>
      <c r="AS68" s="140"/>
      <c r="AT68" s="140"/>
      <c r="AU68" s="140"/>
      <c r="AV68" s="140"/>
      <c r="AW68" s="140"/>
      <c r="AX68" s="140"/>
      <c r="AY68" s="140"/>
      <c r="AZ68" s="140"/>
      <c r="BA68" s="140"/>
      <c r="BB68" s="140"/>
      <c r="BC68" s="140"/>
      <c r="BD68" s="140"/>
      <c r="BE68" s="140"/>
      <c r="BF68" s="140"/>
      <c r="BG68" s="140"/>
      <c r="BH68" s="140"/>
      <c r="BI68" s="140"/>
    </row>
    <row r="69" spans="1:61" x14ac:dyDescent="0.3">
      <c r="A69" s="193" t="s">
        <v>486</v>
      </c>
      <c r="B69" s="194">
        <v>1</v>
      </c>
      <c r="C69" s="194">
        <v>1</v>
      </c>
      <c r="D69" s="194">
        <v>3</v>
      </c>
      <c r="E69" s="194">
        <v>1</v>
      </c>
      <c r="F69" s="194">
        <v>1</v>
      </c>
      <c r="G69" s="194">
        <v>7</v>
      </c>
      <c r="H69" s="194">
        <v>1</v>
      </c>
      <c r="I69" s="194">
        <v>1</v>
      </c>
      <c r="J69" s="194">
        <v>6</v>
      </c>
      <c r="K69" s="194">
        <v>1</v>
      </c>
      <c r="L69" s="194">
        <v>1</v>
      </c>
      <c r="M69" s="194">
        <v>6</v>
      </c>
      <c r="N69" s="194">
        <v>0.93799999999999994</v>
      </c>
      <c r="O69" s="194">
        <v>1</v>
      </c>
      <c r="P69" s="194">
        <v>4</v>
      </c>
      <c r="Q69" s="194">
        <v>0.94099999999999995</v>
      </c>
      <c r="R69" s="194">
        <v>0.83299999999999996</v>
      </c>
      <c r="S69" s="194">
        <v>6</v>
      </c>
      <c r="T69" s="194">
        <v>0.95</v>
      </c>
      <c r="U69" s="194">
        <v>1</v>
      </c>
      <c r="V69" s="194">
        <v>7</v>
      </c>
      <c r="W69" s="194">
        <v>1</v>
      </c>
      <c r="X69" s="194">
        <v>1</v>
      </c>
      <c r="Y69" s="194">
        <v>7</v>
      </c>
      <c r="Z69" s="194">
        <v>1</v>
      </c>
      <c r="AA69" s="194">
        <v>1</v>
      </c>
      <c r="AB69" s="194">
        <v>5</v>
      </c>
      <c r="AC69" s="194">
        <v>1</v>
      </c>
      <c r="AD69" s="194">
        <v>1</v>
      </c>
      <c r="AE69" s="194">
        <v>4</v>
      </c>
      <c r="AF69" s="194">
        <v>1</v>
      </c>
      <c r="AG69" s="194">
        <v>1</v>
      </c>
      <c r="AH69" s="194">
        <v>7</v>
      </c>
      <c r="AI69" s="194">
        <v>1</v>
      </c>
      <c r="AJ69" s="194">
        <v>1</v>
      </c>
      <c r="AK69" s="194">
        <v>2</v>
      </c>
      <c r="AL69" s="140"/>
      <c r="AM69" s="140"/>
      <c r="AN69" s="140"/>
      <c r="AO69" s="140"/>
      <c r="AP69" s="140"/>
      <c r="AQ69" s="140"/>
      <c r="AR69" s="140"/>
      <c r="AS69" s="140"/>
      <c r="AT69" s="140"/>
      <c r="AU69" s="140"/>
      <c r="AV69" s="140"/>
      <c r="AW69" s="140"/>
      <c r="AX69" s="140"/>
      <c r="AY69" s="140"/>
      <c r="AZ69" s="140"/>
      <c r="BA69" s="140"/>
      <c r="BB69" s="140"/>
      <c r="BC69" s="140"/>
      <c r="BD69" s="140"/>
      <c r="BE69" s="140"/>
      <c r="BF69" s="140"/>
      <c r="BG69" s="140"/>
      <c r="BH69" s="140"/>
      <c r="BI69" s="140"/>
    </row>
    <row r="70" spans="1:61" x14ac:dyDescent="0.3">
      <c r="A70" s="193" t="s">
        <v>362</v>
      </c>
      <c r="B70" s="194">
        <v>1</v>
      </c>
      <c r="C70" s="194">
        <v>1</v>
      </c>
      <c r="D70" s="194">
        <v>15</v>
      </c>
      <c r="E70" s="194">
        <v>1</v>
      </c>
      <c r="F70" s="194">
        <v>1</v>
      </c>
      <c r="G70" s="194">
        <v>6</v>
      </c>
      <c r="H70" s="194">
        <v>1</v>
      </c>
      <c r="I70" s="194">
        <v>1</v>
      </c>
      <c r="J70" s="194">
        <v>5</v>
      </c>
      <c r="K70" s="194">
        <v>1</v>
      </c>
      <c r="L70" s="194">
        <v>1</v>
      </c>
      <c r="M70" s="194">
        <v>11</v>
      </c>
      <c r="N70" s="194">
        <v>1</v>
      </c>
      <c r="O70" s="194">
        <v>1</v>
      </c>
      <c r="P70" s="194">
        <v>6</v>
      </c>
      <c r="Q70" s="194">
        <v>1</v>
      </c>
      <c r="R70" s="194">
        <v>1</v>
      </c>
      <c r="S70" s="194">
        <v>14</v>
      </c>
      <c r="T70" s="194">
        <v>1</v>
      </c>
      <c r="U70" s="194">
        <v>1</v>
      </c>
      <c r="V70" s="194">
        <v>8</v>
      </c>
      <c r="W70" s="194">
        <v>1</v>
      </c>
      <c r="X70" s="194">
        <v>1</v>
      </c>
      <c r="Y70" s="194">
        <v>7</v>
      </c>
      <c r="Z70" s="194">
        <v>0.96199999999999997</v>
      </c>
      <c r="AA70" s="194">
        <v>1</v>
      </c>
      <c r="AB70" s="194">
        <v>4</v>
      </c>
      <c r="AC70" s="194">
        <v>0.96399999999999997</v>
      </c>
      <c r="AD70" s="194">
        <v>0.93300000000000005</v>
      </c>
      <c r="AE70" s="194">
        <v>15</v>
      </c>
      <c r="AF70" s="194">
        <v>0.93799999999999994</v>
      </c>
      <c r="AG70" s="194">
        <v>1</v>
      </c>
      <c r="AH70" s="194">
        <v>9</v>
      </c>
      <c r="AI70" s="194">
        <v>0.94099999999999995</v>
      </c>
      <c r="AJ70" s="194">
        <v>0.875</v>
      </c>
      <c r="AK70" s="194">
        <v>8</v>
      </c>
      <c r="AL70" s="140"/>
      <c r="AM70" s="140"/>
      <c r="AN70" s="140"/>
      <c r="AO70" s="140"/>
      <c r="AP70" s="140"/>
      <c r="AQ70" s="140"/>
      <c r="AR70" s="140"/>
      <c r="AS70" s="140"/>
      <c r="AT70" s="140"/>
      <c r="AU70" s="140"/>
      <c r="AV70" s="140"/>
      <c r="AW70" s="140"/>
      <c r="AX70" s="140"/>
      <c r="AY70" s="140"/>
      <c r="AZ70" s="140"/>
      <c r="BA70" s="140"/>
      <c r="BB70" s="140"/>
      <c r="BC70" s="140"/>
      <c r="BD70" s="140"/>
      <c r="BE70" s="140"/>
      <c r="BF70" s="140"/>
      <c r="BG70" s="140"/>
      <c r="BH70" s="140"/>
      <c r="BI70" s="140"/>
    </row>
    <row r="71" spans="1:61" x14ac:dyDescent="0.3">
      <c r="A71" s="193" t="s">
        <v>367</v>
      </c>
      <c r="B71" s="194">
        <v>0.91700000000000004</v>
      </c>
      <c r="C71" s="194">
        <v>0.95</v>
      </c>
      <c r="D71" s="194">
        <v>20</v>
      </c>
      <c r="E71" s="194">
        <v>0.94299999999999995</v>
      </c>
      <c r="F71" s="194">
        <v>0.89300000000000002</v>
      </c>
      <c r="G71" s="194">
        <v>28</v>
      </c>
      <c r="H71" s="194">
        <v>0.94699999999999995</v>
      </c>
      <c r="I71" s="194">
        <v>1</v>
      </c>
      <c r="J71" s="194">
        <v>22</v>
      </c>
      <c r="K71" s="194">
        <v>0.97</v>
      </c>
      <c r="L71" s="194">
        <v>0.96</v>
      </c>
      <c r="M71" s="194">
        <v>25</v>
      </c>
      <c r="N71" s="194">
        <v>0.83099999999999996</v>
      </c>
      <c r="O71" s="194">
        <v>0.95</v>
      </c>
      <c r="P71" s="194">
        <v>20</v>
      </c>
      <c r="Q71" s="194">
        <v>0.80200000000000005</v>
      </c>
      <c r="R71" s="194">
        <v>0.65600000000000003</v>
      </c>
      <c r="S71" s="194">
        <v>32</v>
      </c>
      <c r="T71" s="194">
        <v>0.79</v>
      </c>
      <c r="U71" s="194">
        <v>0.84599999999999997</v>
      </c>
      <c r="V71" s="194">
        <v>39</v>
      </c>
      <c r="W71" s="194">
        <v>0.90100000000000002</v>
      </c>
      <c r="X71" s="194">
        <v>0.86199999999999999</v>
      </c>
      <c r="Y71" s="194">
        <v>29</v>
      </c>
      <c r="Z71" s="194">
        <v>0.91300000000000003</v>
      </c>
      <c r="AA71" s="194">
        <v>0.97699999999999998</v>
      </c>
      <c r="AB71" s="194">
        <v>43</v>
      </c>
      <c r="AC71" s="194">
        <v>0.89700000000000002</v>
      </c>
      <c r="AD71" s="194">
        <v>0.875</v>
      </c>
      <c r="AE71" s="194">
        <v>32</v>
      </c>
      <c r="AF71" s="194">
        <v>0.85099999999999998</v>
      </c>
      <c r="AG71" s="194">
        <v>0.83299999999999996</v>
      </c>
      <c r="AH71" s="194">
        <v>42</v>
      </c>
      <c r="AI71" s="194">
        <v>0.84099999999999997</v>
      </c>
      <c r="AJ71" s="194">
        <v>0.85</v>
      </c>
      <c r="AK71" s="194">
        <v>40</v>
      </c>
      <c r="AL71" s="140"/>
      <c r="AM71" s="140"/>
      <c r="AN71" s="140"/>
      <c r="AO71" s="140"/>
      <c r="AP71" s="140"/>
      <c r="AQ71" s="140"/>
      <c r="AR71" s="140"/>
      <c r="AS71" s="140"/>
      <c r="AT71" s="140"/>
      <c r="AU71" s="140"/>
      <c r="AV71" s="140"/>
      <c r="AW71" s="140"/>
      <c r="AX71" s="140"/>
      <c r="AY71" s="140"/>
      <c r="AZ71" s="140"/>
      <c r="BA71" s="140"/>
      <c r="BB71" s="140"/>
      <c r="BC71" s="140"/>
      <c r="BD71" s="140"/>
      <c r="BE71" s="140"/>
      <c r="BF71" s="140"/>
      <c r="BG71" s="140"/>
      <c r="BH71" s="140"/>
      <c r="BI71" s="140"/>
    </row>
    <row r="72" spans="1:61" x14ac:dyDescent="0.3">
      <c r="A72" s="193" t="s">
        <v>327</v>
      </c>
      <c r="B72" s="194">
        <v>1</v>
      </c>
      <c r="C72" s="194">
        <v>1</v>
      </c>
      <c r="D72" s="194">
        <v>3</v>
      </c>
      <c r="E72" s="194">
        <v>1</v>
      </c>
      <c r="F72" s="194">
        <v>1</v>
      </c>
      <c r="G72" s="194">
        <v>18</v>
      </c>
      <c r="H72" s="194">
        <v>0.97699999999999998</v>
      </c>
      <c r="I72" s="194">
        <v>1</v>
      </c>
      <c r="J72" s="194">
        <v>15</v>
      </c>
      <c r="K72" s="194">
        <v>0.97399999999999998</v>
      </c>
      <c r="L72" s="194">
        <v>0.90900000000000003</v>
      </c>
      <c r="M72" s="194">
        <v>11</v>
      </c>
      <c r="N72" s="194">
        <v>0.97499999999999998</v>
      </c>
      <c r="O72" s="194">
        <v>1</v>
      </c>
      <c r="P72" s="194">
        <v>12</v>
      </c>
      <c r="Q72" s="194">
        <v>0.95199999999999996</v>
      </c>
      <c r="R72" s="194">
        <v>1</v>
      </c>
      <c r="S72" s="194">
        <v>17</v>
      </c>
      <c r="T72" s="194">
        <v>0.95499999999999996</v>
      </c>
      <c r="U72" s="194">
        <v>0.84599999999999997</v>
      </c>
      <c r="V72" s="194">
        <v>13</v>
      </c>
      <c r="W72" s="194">
        <v>0.93200000000000005</v>
      </c>
      <c r="X72" s="194">
        <v>1</v>
      </c>
      <c r="Y72" s="194">
        <v>14</v>
      </c>
      <c r="Z72" s="194">
        <v>0.97699999999999998</v>
      </c>
      <c r="AA72" s="194">
        <v>0.94099999999999995</v>
      </c>
      <c r="AB72" s="194">
        <v>17</v>
      </c>
      <c r="AC72" s="194">
        <v>0.92700000000000005</v>
      </c>
      <c r="AD72" s="194">
        <v>1</v>
      </c>
      <c r="AE72" s="194">
        <v>13</v>
      </c>
      <c r="AF72" s="194">
        <v>0.90900000000000003</v>
      </c>
      <c r="AG72" s="194">
        <v>0.81799999999999995</v>
      </c>
      <c r="AH72" s="194">
        <v>11</v>
      </c>
      <c r="AI72" s="194">
        <v>0.85</v>
      </c>
      <c r="AJ72" s="194">
        <v>0.88900000000000001</v>
      </c>
      <c r="AK72" s="194">
        <v>9</v>
      </c>
      <c r="AL72" s="140"/>
      <c r="AM72" s="140"/>
      <c r="AN72" s="140"/>
      <c r="AO72" s="140"/>
      <c r="AP72" s="140"/>
      <c r="AQ72" s="140"/>
      <c r="AR72" s="140"/>
      <c r="AS72" s="140"/>
      <c r="AT72" s="140"/>
      <c r="AU72" s="140"/>
      <c r="AV72" s="140"/>
      <c r="AW72" s="140"/>
      <c r="AX72" s="140"/>
      <c r="AY72" s="140"/>
      <c r="AZ72" s="140"/>
      <c r="BA72" s="140"/>
      <c r="BB72" s="140"/>
      <c r="BC72" s="140"/>
      <c r="BD72" s="140"/>
      <c r="BE72" s="140"/>
      <c r="BF72" s="140"/>
      <c r="BG72" s="140"/>
      <c r="BH72" s="140"/>
      <c r="BI72" s="140"/>
    </row>
    <row r="73" spans="1:61" x14ac:dyDescent="0.3">
      <c r="A73" s="193" t="s">
        <v>492</v>
      </c>
      <c r="B73" s="194">
        <v>0.95799999999999996</v>
      </c>
      <c r="C73" s="194">
        <v>0.92300000000000004</v>
      </c>
      <c r="D73" s="194">
        <v>13</v>
      </c>
      <c r="E73" s="194">
        <v>0.94899999999999995</v>
      </c>
      <c r="F73" s="194">
        <v>1</v>
      </c>
      <c r="G73" s="194">
        <v>11</v>
      </c>
      <c r="H73" s="194">
        <v>0.96199999999999997</v>
      </c>
      <c r="I73" s="194">
        <v>0.93300000000000005</v>
      </c>
      <c r="J73" s="194">
        <v>15</v>
      </c>
      <c r="K73" s="194">
        <v>0.93700000000000006</v>
      </c>
      <c r="L73" s="194">
        <v>0.96199999999999997</v>
      </c>
      <c r="M73" s="194">
        <v>26</v>
      </c>
      <c r="N73" s="194">
        <v>0.93400000000000005</v>
      </c>
      <c r="O73" s="194">
        <v>0.90900000000000003</v>
      </c>
      <c r="P73" s="194">
        <v>22</v>
      </c>
      <c r="Q73" s="194">
        <v>0.94099999999999995</v>
      </c>
      <c r="R73" s="194">
        <v>0.92900000000000005</v>
      </c>
      <c r="S73" s="194">
        <v>28</v>
      </c>
      <c r="T73" s="194">
        <v>0.94799999999999995</v>
      </c>
      <c r="U73" s="194">
        <v>1</v>
      </c>
      <c r="V73" s="194">
        <v>18</v>
      </c>
      <c r="W73" s="194">
        <v>0.91700000000000004</v>
      </c>
      <c r="X73" s="194">
        <v>0.91700000000000004</v>
      </c>
      <c r="Y73" s="194">
        <v>12</v>
      </c>
      <c r="Z73" s="194">
        <v>0.84499999999999997</v>
      </c>
      <c r="AA73" s="194">
        <v>0.83299999999999996</v>
      </c>
      <c r="AB73" s="194">
        <v>18</v>
      </c>
      <c r="AC73" s="194">
        <v>0.82499999999999996</v>
      </c>
      <c r="AD73" s="194">
        <v>0.82099999999999995</v>
      </c>
      <c r="AE73" s="194">
        <v>28</v>
      </c>
      <c r="AF73" s="194">
        <v>0.85099999999999998</v>
      </c>
      <c r="AG73" s="194">
        <v>0.82399999999999995</v>
      </c>
      <c r="AH73" s="194">
        <v>17</v>
      </c>
      <c r="AI73" s="194">
        <v>0.872</v>
      </c>
      <c r="AJ73" s="194">
        <v>0.90900000000000003</v>
      </c>
      <c r="AK73" s="194">
        <v>22</v>
      </c>
      <c r="AL73" s="140"/>
      <c r="AM73" s="140"/>
      <c r="AN73" s="140"/>
      <c r="AO73" s="140"/>
      <c r="AP73" s="140"/>
      <c r="AQ73" s="140"/>
      <c r="AR73" s="140"/>
      <c r="AS73" s="140"/>
      <c r="AT73" s="140"/>
      <c r="AU73" s="140"/>
      <c r="AV73" s="140"/>
      <c r="AW73" s="140"/>
      <c r="AX73" s="140"/>
      <c r="AY73" s="140"/>
      <c r="AZ73" s="140"/>
      <c r="BA73" s="140"/>
      <c r="BB73" s="140"/>
      <c r="BC73" s="140"/>
      <c r="BD73" s="140"/>
      <c r="BE73" s="140"/>
      <c r="BF73" s="140"/>
      <c r="BG73" s="140"/>
      <c r="BH73" s="140"/>
      <c r="BI73" s="140"/>
    </row>
    <row r="74" spans="1:61" x14ac:dyDescent="0.3">
      <c r="A74" s="193" t="s">
        <v>418</v>
      </c>
      <c r="B74" s="194">
        <v>0.94699999999999995</v>
      </c>
      <c r="C74" s="194">
        <v>0.90900000000000003</v>
      </c>
      <c r="D74" s="194">
        <v>11</v>
      </c>
      <c r="E74" s="194">
        <v>0.96599999999999997</v>
      </c>
      <c r="F74" s="194">
        <v>1</v>
      </c>
      <c r="G74" s="194">
        <v>8</v>
      </c>
      <c r="H74" s="194">
        <v>0.96799999999999997</v>
      </c>
      <c r="I74" s="194">
        <v>1</v>
      </c>
      <c r="J74" s="194">
        <v>10</v>
      </c>
      <c r="K74" s="194">
        <v>0.90300000000000002</v>
      </c>
      <c r="L74" s="194">
        <v>0.92300000000000004</v>
      </c>
      <c r="M74" s="194">
        <v>13</v>
      </c>
      <c r="N74" s="194">
        <v>0.86699999999999999</v>
      </c>
      <c r="O74" s="194">
        <v>0.75</v>
      </c>
      <c r="P74" s="194">
        <v>8</v>
      </c>
      <c r="Q74" s="194">
        <v>0.8</v>
      </c>
      <c r="R74" s="194">
        <v>0.88900000000000001</v>
      </c>
      <c r="S74" s="194">
        <v>9</v>
      </c>
      <c r="T74" s="194">
        <v>0.84399999999999997</v>
      </c>
      <c r="U74" s="194">
        <v>0.75</v>
      </c>
      <c r="V74" s="194">
        <v>8</v>
      </c>
      <c r="W74" s="194">
        <v>0.86499999999999999</v>
      </c>
      <c r="X74" s="194">
        <v>0.86699999999999999</v>
      </c>
      <c r="Y74" s="194">
        <v>15</v>
      </c>
      <c r="Z74" s="194">
        <v>0.86799999999999999</v>
      </c>
      <c r="AA74" s="194">
        <v>0.92900000000000005</v>
      </c>
      <c r="AB74" s="194">
        <v>14</v>
      </c>
      <c r="AC74" s="194">
        <v>0.875</v>
      </c>
      <c r="AD74" s="194">
        <v>0.77800000000000002</v>
      </c>
      <c r="AE74" s="194">
        <v>9</v>
      </c>
      <c r="AF74" s="194">
        <v>0.875</v>
      </c>
      <c r="AG74" s="194">
        <v>0.88900000000000001</v>
      </c>
      <c r="AH74" s="194">
        <v>9</v>
      </c>
      <c r="AI74" s="194">
        <v>0.93300000000000005</v>
      </c>
      <c r="AJ74" s="194">
        <v>1</v>
      </c>
      <c r="AK74" s="194">
        <v>6</v>
      </c>
      <c r="AL74" s="140"/>
      <c r="AM74" s="140"/>
      <c r="AN74" s="140"/>
      <c r="AO74" s="140"/>
      <c r="AP74" s="140"/>
      <c r="AQ74" s="140"/>
      <c r="AR74" s="140"/>
      <c r="AS74" s="140"/>
      <c r="AT74" s="140"/>
      <c r="AU74" s="140"/>
      <c r="AV74" s="140"/>
      <c r="AW74" s="140"/>
      <c r="AX74" s="140"/>
      <c r="AY74" s="140"/>
      <c r="AZ74" s="140"/>
      <c r="BA74" s="140"/>
      <c r="BB74" s="140"/>
      <c r="BC74" s="140"/>
      <c r="BD74" s="140"/>
      <c r="BE74" s="140"/>
      <c r="BF74" s="140"/>
      <c r="BG74" s="140"/>
      <c r="BH74" s="140"/>
      <c r="BI74" s="140"/>
    </row>
    <row r="75" spans="1:61" x14ac:dyDescent="0.3">
      <c r="A75" s="193" t="s">
        <v>382</v>
      </c>
      <c r="B75" s="194">
        <v>1</v>
      </c>
      <c r="C75" s="194">
        <v>1</v>
      </c>
      <c r="D75" s="194">
        <v>8</v>
      </c>
      <c r="E75" s="194">
        <v>1</v>
      </c>
      <c r="F75" s="194">
        <v>1</v>
      </c>
      <c r="G75" s="194">
        <v>9</v>
      </c>
      <c r="H75" s="194">
        <v>1</v>
      </c>
      <c r="I75" s="194">
        <v>1</v>
      </c>
      <c r="J75" s="194">
        <v>8</v>
      </c>
      <c r="K75" s="194">
        <v>1</v>
      </c>
      <c r="L75" s="194">
        <v>1</v>
      </c>
      <c r="M75" s="194">
        <v>7</v>
      </c>
      <c r="N75" s="194">
        <v>1</v>
      </c>
      <c r="O75" s="194">
        <v>1</v>
      </c>
      <c r="P75" s="194">
        <v>15</v>
      </c>
      <c r="Q75" s="194">
        <v>1</v>
      </c>
      <c r="R75" s="194">
        <v>1</v>
      </c>
      <c r="S75" s="194">
        <v>9</v>
      </c>
      <c r="T75" s="194">
        <v>1</v>
      </c>
      <c r="U75" s="194">
        <v>1</v>
      </c>
      <c r="V75" s="194">
        <v>6</v>
      </c>
      <c r="W75" s="194">
        <v>1</v>
      </c>
      <c r="X75" s="194">
        <v>1</v>
      </c>
      <c r="Y75" s="194">
        <v>5</v>
      </c>
      <c r="Z75" s="194">
        <v>1</v>
      </c>
      <c r="AA75" s="194">
        <v>1</v>
      </c>
      <c r="AB75" s="194">
        <v>11</v>
      </c>
      <c r="AC75" s="194">
        <v>1</v>
      </c>
      <c r="AD75" s="194">
        <v>1</v>
      </c>
      <c r="AE75" s="194">
        <v>11</v>
      </c>
      <c r="AF75" s="194">
        <v>1</v>
      </c>
      <c r="AG75" s="194">
        <v>1</v>
      </c>
      <c r="AH75" s="194">
        <v>12</v>
      </c>
      <c r="AI75" s="194">
        <v>1</v>
      </c>
      <c r="AJ75" s="194">
        <v>1</v>
      </c>
      <c r="AK75" s="194">
        <v>12</v>
      </c>
      <c r="AL75" s="140"/>
      <c r="AM75" s="140"/>
      <c r="AN75" s="140"/>
      <c r="AO75" s="140"/>
      <c r="AP75" s="140"/>
      <c r="AQ75" s="140"/>
      <c r="AR75" s="140"/>
      <c r="AS75" s="140"/>
      <c r="AT75" s="140"/>
      <c r="AU75" s="140"/>
      <c r="AV75" s="140"/>
      <c r="AW75" s="140"/>
      <c r="AX75" s="140"/>
      <c r="AY75" s="140"/>
      <c r="AZ75" s="140"/>
      <c r="BA75" s="140"/>
      <c r="BB75" s="140"/>
      <c r="BC75" s="140"/>
      <c r="BD75" s="140"/>
      <c r="BE75" s="140"/>
      <c r="BF75" s="140"/>
      <c r="BG75" s="140"/>
      <c r="BH75" s="140"/>
      <c r="BI75" s="140"/>
    </row>
    <row r="76" spans="1:61" x14ac:dyDescent="0.3">
      <c r="A76" s="193" t="s">
        <v>427</v>
      </c>
      <c r="B76" s="194">
        <v>1</v>
      </c>
      <c r="C76" s="194">
        <v>1</v>
      </c>
      <c r="D76" s="194">
        <v>11</v>
      </c>
      <c r="E76" s="194">
        <v>1</v>
      </c>
      <c r="F76" s="194">
        <v>1</v>
      </c>
      <c r="G76" s="194">
        <v>16</v>
      </c>
      <c r="H76" s="194">
        <v>1</v>
      </c>
      <c r="I76" s="194">
        <v>1</v>
      </c>
      <c r="J76" s="194">
        <v>10</v>
      </c>
      <c r="K76" s="194">
        <v>1</v>
      </c>
      <c r="L76" s="194">
        <v>1</v>
      </c>
      <c r="M76" s="194">
        <v>18</v>
      </c>
      <c r="N76" s="194">
        <v>0.97799999999999998</v>
      </c>
      <c r="O76" s="194">
        <v>1</v>
      </c>
      <c r="P76" s="194">
        <v>13</v>
      </c>
      <c r="Q76" s="194">
        <v>0.97</v>
      </c>
      <c r="R76" s="194">
        <v>0.92900000000000005</v>
      </c>
      <c r="S76" s="194">
        <v>14</v>
      </c>
      <c r="T76" s="194">
        <v>0.97099999999999997</v>
      </c>
      <c r="U76" s="194">
        <v>1</v>
      </c>
      <c r="V76" s="194">
        <v>6</v>
      </c>
      <c r="W76" s="194">
        <v>1</v>
      </c>
      <c r="X76" s="194">
        <v>1</v>
      </c>
      <c r="Y76" s="194">
        <v>14</v>
      </c>
      <c r="Z76" s="194">
        <v>1</v>
      </c>
      <c r="AA76" s="194">
        <v>1</v>
      </c>
      <c r="AB76" s="194">
        <v>10</v>
      </c>
      <c r="AC76" s="194">
        <v>1</v>
      </c>
      <c r="AD76" s="194">
        <v>1</v>
      </c>
      <c r="AE76" s="194">
        <v>12</v>
      </c>
      <c r="AF76" s="194">
        <v>1</v>
      </c>
      <c r="AG76" s="194">
        <v>1</v>
      </c>
      <c r="AH76" s="194">
        <v>21</v>
      </c>
      <c r="AI76" s="194">
        <v>1</v>
      </c>
      <c r="AJ76" s="194">
        <v>1</v>
      </c>
      <c r="AK76" s="194">
        <v>13</v>
      </c>
      <c r="AL76" s="140"/>
      <c r="AM76" s="140"/>
      <c r="AN76" s="140"/>
      <c r="AO76" s="140"/>
      <c r="AP76" s="140"/>
      <c r="AQ76" s="140"/>
      <c r="AR76" s="140"/>
      <c r="AS76" s="140"/>
      <c r="AT76" s="140"/>
      <c r="AU76" s="140"/>
      <c r="AV76" s="140"/>
      <c r="AW76" s="140"/>
      <c r="AX76" s="140"/>
      <c r="AY76" s="140"/>
      <c r="AZ76" s="140"/>
      <c r="BA76" s="140"/>
      <c r="BB76" s="140"/>
      <c r="BC76" s="140"/>
      <c r="BD76" s="140"/>
      <c r="BE76" s="140"/>
      <c r="BF76" s="140"/>
      <c r="BG76" s="140"/>
      <c r="BH76" s="140"/>
      <c r="BI76" s="140"/>
    </row>
    <row r="77" spans="1:61" x14ac:dyDescent="0.3">
      <c r="A77" s="193" t="s">
        <v>458</v>
      </c>
      <c r="B77" s="194">
        <v>1</v>
      </c>
      <c r="C77" s="194">
        <v>1</v>
      </c>
      <c r="D77" s="194">
        <v>8</v>
      </c>
      <c r="E77" s="194">
        <v>0.95799999999999996</v>
      </c>
      <c r="F77" s="194">
        <v>1</v>
      </c>
      <c r="G77" s="194">
        <v>8</v>
      </c>
      <c r="H77" s="194">
        <v>0.92600000000000005</v>
      </c>
      <c r="I77" s="194">
        <v>0.875</v>
      </c>
      <c r="J77" s="194">
        <v>8</v>
      </c>
      <c r="K77" s="194">
        <v>0.92600000000000005</v>
      </c>
      <c r="L77" s="194">
        <v>0.90900000000000003</v>
      </c>
      <c r="M77" s="194">
        <v>11</v>
      </c>
      <c r="N77" s="194">
        <v>0.89300000000000002</v>
      </c>
      <c r="O77" s="194">
        <v>1</v>
      </c>
      <c r="P77" s="194">
        <v>8</v>
      </c>
      <c r="Q77" s="194">
        <v>0.88500000000000001</v>
      </c>
      <c r="R77" s="194">
        <v>0.77800000000000002</v>
      </c>
      <c r="S77" s="194">
        <v>9</v>
      </c>
      <c r="T77" s="194">
        <v>0.88900000000000001</v>
      </c>
      <c r="U77" s="194">
        <v>0.88900000000000001</v>
      </c>
      <c r="V77" s="194">
        <v>9</v>
      </c>
      <c r="W77" s="194">
        <v>0.89700000000000002</v>
      </c>
      <c r="X77" s="194">
        <v>1</v>
      </c>
      <c r="Y77" s="194">
        <v>9</v>
      </c>
      <c r="Z77" s="194">
        <v>0.93300000000000005</v>
      </c>
      <c r="AA77" s="194">
        <v>0.81799999999999995</v>
      </c>
      <c r="AB77" s="194">
        <v>11</v>
      </c>
      <c r="AC77" s="194">
        <v>0.83899999999999997</v>
      </c>
      <c r="AD77" s="194">
        <v>1</v>
      </c>
      <c r="AE77" s="194">
        <v>10</v>
      </c>
      <c r="AF77" s="194">
        <v>0.871</v>
      </c>
      <c r="AG77" s="194">
        <v>0.7</v>
      </c>
      <c r="AH77" s="194">
        <v>10</v>
      </c>
      <c r="AI77" s="194">
        <v>0.81</v>
      </c>
      <c r="AJ77" s="194">
        <v>0.90900000000000003</v>
      </c>
      <c r="AK77" s="194">
        <v>11</v>
      </c>
      <c r="AL77" s="140"/>
      <c r="AM77" s="140"/>
      <c r="AN77" s="140"/>
      <c r="AO77" s="140"/>
      <c r="AP77" s="140"/>
      <c r="AQ77" s="140"/>
      <c r="AR77" s="140"/>
      <c r="AS77" s="140"/>
      <c r="AT77" s="140"/>
      <c r="AU77" s="140"/>
      <c r="AV77" s="140"/>
      <c r="AW77" s="140"/>
      <c r="AX77" s="140"/>
      <c r="AY77" s="140"/>
      <c r="AZ77" s="140"/>
      <c r="BA77" s="140"/>
      <c r="BB77" s="140"/>
      <c r="BC77" s="140"/>
      <c r="BD77" s="140"/>
      <c r="BE77" s="140"/>
      <c r="BF77" s="140"/>
      <c r="BG77" s="140"/>
      <c r="BH77" s="140"/>
      <c r="BI77" s="140"/>
    </row>
    <row r="78" spans="1:61" x14ac:dyDescent="0.3">
      <c r="A78" s="193" t="s">
        <v>330</v>
      </c>
      <c r="B78" s="194">
        <v>0.93500000000000005</v>
      </c>
      <c r="C78" s="194">
        <v>0.875</v>
      </c>
      <c r="D78" s="194">
        <v>24</v>
      </c>
      <c r="E78" s="194">
        <v>0.93200000000000005</v>
      </c>
      <c r="F78" s="194">
        <v>1</v>
      </c>
      <c r="G78" s="194">
        <v>22</v>
      </c>
      <c r="H78" s="194">
        <v>0.93899999999999995</v>
      </c>
      <c r="I78" s="194">
        <v>0.92600000000000005</v>
      </c>
      <c r="J78" s="194">
        <v>27</v>
      </c>
      <c r="K78" s="194">
        <v>0.92900000000000005</v>
      </c>
      <c r="L78" s="194">
        <v>0.88200000000000001</v>
      </c>
      <c r="M78" s="194">
        <v>17</v>
      </c>
      <c r="N78" s="194">
        <v>0.95699999999999996</v>
      </c>
      <c r="O78" s="194">
        <v>1</v>
      </c>
      <c r="P78" s="194">
        <v>12</v>
      </c>
      <c r="Q78" s="194">
        <v>0.98</v>
      </c>
      <c r="R78" s="194">
        <v>1</v>
      </c>
      <c r="S78" s="194">
        <v>18</v>
      </c>
      <c r="T78" s="194">
        <v>0.93100000000000005</v>
      </c>
      <c r="U78" s="194">
        <v>0.94699999999999995</v>
      </c>
      <c r="V78" s="194">
        <v>19</v>
      </c>
      <c r="W78" s="194">
        <v>0.92100000000000004</v>
      </c>
      <c r="X78" s="194">
        <v>0.85699999999999998</v>
      </c>
      <c r="Y78" s="194">
        <v>21</v>
      </c>
      <c r="Z78" s="194">
        <v>0.90900000000000003</v>
      </c>
      <c r="AA78" s="194">
        <v>0.95699999999999996</v>
      </c>
      <c r="AB78" s="194">
        <v>23</v>
      </c>
      <c r="AC78" s="194">
        <v>0.94499999999999995</v>
      </c>
      <c r="AD78" s="194">
        <v>0.90900000000000003</v>
      </c>
      <c r="AE78" s="194">
        <v>22</v>
      </c>
      <c r="AF78" s="194">
        <v>0.93899999999999995</v>
      </c>
      <c r="AG78" s="194">
        <v>0.96399999999999997</v>
      </c>
      <c r="AH78" s="194">
        <v>28</v>
      </c>
      <c r="AI78" s="194">
        <v>0.95499999999999996</v>
      </c>
      <c r="AJ78" s="194">
        <v>0.93799999999999994</v>
      </c>
      <c r="AK78" s="194">
        <v>16</v>
      </c>
      <c r="AL78" s="140"/>
      <c r="AM78" s="140"/>
      <c r="AN78" s="140"/>
      <c r="AO78" s="140"/>
      <c r="AP78" s="140"/>
      <c r="AQ78" s="140"/>
      <c r="AR78" s="140"/>
      <c r="AS78" s="140"/>
      <c r="AT78" s="140"/>
      <c r="AU78" s="140"/>
      <c r="AV78" s="140"/>
      <c r="AW78" s="140"/>
      <c r="AX78" s="140"/>
      <c r="AY78" s="140"/>
      <c r="AZ78" s="140"/>
      <c r="BA78" s="140"/>
      <c r="BB78" s="140"/>
      <c r="BC78" s="140"/>
      <c r="BD78" s="140"/>
      <c r="BE78" s="140"/>
      <c r="BF78" s="140"/>
      <c r="BG78" s="140"/>
      <c r="BH78" s="140"/>
      <c r="BI78" s="140"/>
    </row>
    <row r="79" spans="1:61" x14ac:dyDescent="0.3">
      <c r="A79" s="193" t="s">
        <v>404</v>
      </c>
      <c r="B79" s="194">
        <v>1</v>
      </c>
      <c r="C79" s="194">
        <v>1</v>
      </c>
      <c r="D79" s="194">
        <v>10</v>
      </c>
      <c r="E79" s="194">
        <v>1</v>
      </c>
      <c r="F79" s="194">
        <v>1</v>
      </c>
      <c r="G79" s="194">
        <v>14</v>
      </c>
      <c r="H79" s="194">
        <v>0.98099999999999998</v>
      </c>
      <c r="I79" s="194">
        <v>1</v>
      </c>
      <c r="J79" s="194">
        <v>19</v>
      </c>
      <c r="K79" s="194">
        <v>0.96599999999999997</v>
      </c>
      <c r="L79" s="194">
        <v>0.95199999999999996</v>
      </c>
      <c r="M79" s="194">
        <v>21</v>
      </c>
      <c r="N79" s="194">
        <v>0.94099999999999995</v>
      </c>
      <c r="O79" s="194">
        <v>0.94399999999999995</v>
      </c>
      <c r="P79" s="194">
        <v>18</v>
      </c>
      <c r="Q79" s="194">
        <v>0.94199999999999995</v>
      </c>
      <c r="R79" s="194">
        <v>0.91700000000000004</v>
      </c>
      <c r="S79" s="194">
        <v>12</v>
      </c>
      <c r="T79" s="194">
        <v>0.96399999999999997</v>
      </c>
      <c r="U79" s="194">
        <v>0.95499999999999996</v>
      </c>
      <c r="V79" s="194">
        <v>22</v>
      </c>
      <c r="W79" s="194">
        <v>0.93</v>
      </c>
      <c r="X79" s="194">
        <v>1</v>
      </c>
      <c r="Y79" s="194">
        <v>22</v>
      </c>
      <c r="Z79" s="194">
        <v>0.93100000000000005</v>
      </c>
      <c r="AA79" s="194">
        <v>0.85199999999999998</v>
      </c>
      <c r="AB79" s="194">
        <v>27</v>
      </c>
      <c r="AC79" s="194">
        <v>0.91700000000000004</v>
      </c>
      <c r="AD79" s="194">
        <v>0.95699999999999996</v>
      </c>
      <c r="AE79" s="194">
        <v>23</v>
      </c>
      <c r="AF79" s="194">
        <v>0.95599999999999996</v>
      </c>
      <c r="AG79" s="194">
        <v>0.95499999999999996</v>
      </c>
      <c r="AH79" s="194">
        <v>22</v>
      </c>
      <c r="AI79" s="194">
        <v>0.95599999999999996</v>
      </c>
      <c r="AJ79" s="194">
        <v>0.95699999999999996</v>
      </c>
      <c r="AK79" s="194">
        <v>23</v>
      </c>
      <c r="AL79" s="140"/>
      <c r="AM79" s="140"/>
      <c r="AN79" s="140"/>
      <c r="AO79" s="140"/>
      <c r="AP79" s="140"/>
      <c r="AQ79" s="140"/>
      <c r="AR79" s="140"/>
      <c r="AS79" s="140"/>
      <c r="AT79" s="140"/>
      <c r="AU79" s="140"/>
      <c r="AV79" s="140"/>
      <c r="AW79" s="140"/>
      <c r="AX79" s="140"/>
      <c r="AY79" s="140"/>
      <c r="AZ79" s="140"/>
      <c r="BA79" s="140"/>
      <c r="BB79" s="140"/>
      <c r="BC79" s="140"/>
      <c r="BD79" s="140"/>
      <c r="BE79" s="140"/>
      <c r="BF79" s="140"/>
      <c r="BG79" s="140"/>
      <c r="BH79" s="140"/>
      <c r="BI79" s="140"/>
    </row>
    <row r="80" spans="1:61" x14ac:dyDescent="0.3">
      <c r="A80" s="193" t="s">
        <v>504</v>
      </c>
      <c r="B80" s="194">
        <v>1</v>
      </c>
      <c r="C80" s="194">
        <v>1</v>
      </c>
      <c r="D80" s="194">
        <v>8</v>
      </c>
      <c r="E80" s="194">
        <v>1</v>
      </c>
      <c r="F80" s="194">
        <v>1</v>
      </c>
      <c r="G80" s="194">
        <v>10</v>
      </c>
      <c r="H80" s="194">
        <v>1</v>
      </c>
      <c r="I80" s="194">
        <v>1</v>
      </c>
      <c r="J80" s="194">
        <v>14</v>
      </c>
      <c r="K80" s="194">
        <v>1</v>
      </c>
      <c r="L80" s="194">
        <v>1</v>
      </c>
      <c r="M80" s="194">
        <v>10</v>
      </c>
      <c r="N80" s="194">
        <v>0.96</v>
      </c>
      <c r="O80" s="194">
        <v>1</v>
      </c>
      <c r="P80" s="194">
        <v>6</v>
      </c>
      <c r="Q80" s="194">
        <v>0.95199999999999996</v>
      </c>
      <c r="R80" s="194">
        <v>0.88900000000000001</v>
      </c>
      <c r="S80" s="194">
        <v>9</v>
      </c>
      <c r="T80" s="194">
        <v>0.91300000000000003</v>
      </c>
      <c r="U80" s="194">
        <v>1</v>
      </c>
      <c r="V80" s="194">
        <v>6</v>
      </c>
      <c r="W80" s="194">
        <v>0.85699999999999998</v>
      </c>
      <c r="X80" s="194">
        <v>0.875</v>
      </c>
      <c r="Y80" s="194">
        <v>8</v>
      </c>
      <c r="Z80" s="194">
        <v>0.89300000000000002</v>
      </c>
      <c r="AA80" s="194">
        <v>0.71399999999999997</v>
      </c>
      <c r="AB80" s="194">
        <v>7</v>
      </c>
      <c r="AC80" s="194">
        <v>0.93799999999999994</v>
      </c>
      <c r="AD80" s="194">
        <v>1</v>
      </c>
      <c r="AE80" s="194">
        <v>13</v>
      </c>
      <c r="AF80" s="194">
        <v>0.97399999999999998</v>
      </c>
      <c r="AG80" s="194">
        <v>1</v>
      </c>
      <c r="AH80" s="194">
        <v>12</v>
      </c>
      <c r="AI80" s="194">
        <v>0.96199999999999997</v>
      </c>
      <c r="AJ80" s="194">
        <v>0.92900000000000005</v>
      </c>
      <c r="AK80" s="194">
        <v>14</v>
      </c>
      <c r="AL80" s="140"/>
      <c r="AM80" s="140"/>
      <c r="AN80" s="140"/>
      <c r="AO80" s="140"/>
      <c r="AP80" s="140"/>
      <c r="AQ80" s="140"/>
      <c r="AR80" s="140"/>
      <c r="AS80" s="140"/>
      <c r="AT80" s="140"/>
      <c r="AU80" s="140"/>
      <c r="AV80" s="140"/>
      <c r="AW80" s="140"/>
      <c r="AX80" s="140"/>
      <c r="AY80" s="140"/>
      <c r="AZ80" s="140"/>
      <c r="BA80" s="140"/>
      <c r="BB80" s="140"/>
      <c r="BC80" s="140"/>
      <c r="BD80" s="140"/>
      <c r="BE80" s="140"/>
      <c r="BF80" s="140"/>
      <c r="BG80" s="140"/>
      <c r="BH80" s="140"/>
      <c r="BI80" s="140"/>
    </row>
    <row r="81" spans="1:61" x14ac:dyDescent="0.3">
      <c r="A81" s="193" t="s">
        <v>310</v>
      </c>
      <c r="B81" s="194">
        <v>1</v>
      </c>
      <c r="C81" s="194">
        <v>1</v>
      </c>
      <c r="D81" s="194">
        <v>12</v>
      </c>
      <c r="E81" s="194">
        <v>0.96399999999999997</v>
      </c>
      <c r="F81" s="194">
        <v>1</v>
      </c>
      <c r="G81" s="194">
        <v>8</v>
      </c>
      <c r="H81" s="194">
        <v>0.90900000000000003</v>
      </c>
      <c r="I81" s="194">
        <v>0.875</v>
      </c>
      <c r="J81" s="194">
        <v>8</v>
      </c>
      <c r="K81" s="194">
        <v>0.88</v>
      </c>
      <c r="L81" s="194">
        <v>0.83299999999999996</v>
      </c>
      <c r="M81" s="194">
        <v>6</v>
      </c>
      <c r="N81" s="194">
        <v>0.88900000000000001</v>
      </c>
      <c r="O81" s="194">
        <v>0.90900000000000003</v>
      </c>
      <c r="P81" s="194">
        <v>11</v>
      </c>
      <c r="Q81" s="194">
        <v>0.90300000000000002</v>
      </c>
      <c r="R81" s="194">
        <v>0.9</v>
      </c>
      <c r="S81" s="194">
        <v>10</v>
      </c>
      <c r="T81" s="194">
        <v>0.90600000000000003</v>
      </c>
      <c r="U81" s="194">
        <v>0.9</v>
      </c>
      <c r="V81" s="194">
        <v>10</v>
      </c>
      <c r="W81" s="194">
        <v>0.95199999999999996</v>
      </c>
      <c r="X81" s="194">
        <v>0.91700000000000004</v>
      </c>
      <c r="Y81" s="194">
        <v>12</v>
      </c>
      <c r="Z81" s="194">
        <v>0.95699999999999996</v>
      </c>
      <c r="AA81" s="194">
        <v>1</v>
      </c>
      <c r="AB81" s="194">
        <v>20</v>
      </c>
      <c r="AC81" s="194">
        <v>0.97899999999999998</v>
      </c>
      <c r="AD81" s="194">
        <v>0.93300000000000005</v>
      </c>
      <c r="AE81" s="194">
        <v>15</v>
      </c>
      <c r="AF81" s="194">
        <v>0.95699999999999996</v>
      </c>
      <c r="AG81" s="194">
        <v>1</v>
      </c>
      <c r="AH81" s="194">
        <v>13</v>
      </c>
      <c r="AI81" s="194">
        <v>0.96899999999999997</v>
      </c>
      <c r="AJ81" s="194">
        <v>0.94699999999999995</v>
      </c>
      <c r="AK81" s="194">
        <v>19</v>
      </c>
      <c r="AL81" s="140"/>
      <c r="AM81" s="140"/>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row>
    <row r="82" spans="1:61" x14ac:dyDescent="0.3">
      <c r="A82" s="193" t="s">
        <v>498</v>
      </c>
      <c r="B82" s="194">
        <v>1</v>
      </c>
      <c r="C82" s="194">
        <v>1</v>
      </c>
      <c r="D82" s="194">
        <v>2</v>
      </c>
      <c r="E82" s="194">
        <v>1</v>
      </c>
      <c r="F82" s="194">
        <v>1</v>
      </c>
      <c r="G82" s="194">
        <v>2</v>
      </c>
      <c r="H82" s="194">
        <v>1</v>
      </c>
      <c r="I82" s="194">
        <v>1</v>
      </c>
      <c r="J82" s="194">
        <v>1</v>
      </c>
      <c r="K82" s="194">
        <v>1</v>
      </c>
      <c r="L82" s="194">
        <v>1</v>
      </c>
      <c r="M82" s="194">
        <v>2</v>
      </c>
      <c r="N82" s="194">
        <v>1</v>
      </c>
      <c r="O82" s="194">
        <v>1</v>
      </c>
      <c r="P82" s="194">
        <v>3</v>
      </c>
      <c r="Q82" s="194">
        <v>1</v>
      </c>
      <c r="R82" s="194">
        <v>1</v>
      </c>
      <c r="S82" s="194">
        <v>1</v>
      </c>
      <c r="T82" s="194">
        <v>1</v>
      </c>
      <c r="U82" s="194">
        <v>1</v>
      </c>
      <c r="V82" s="194">
        <v>1</v>
      </c>
      <c r="W82" s="194">
        <v>1</v>
      </c>
      <c r="X82" s="194">
        <v>1</v>
      </c>
      <c r="Y82" s="194">
        <v>4</v>
      </c>
      <c r="Z82" s="194">
        <v>1</v>
      </c>
      <c r="AA82" s="194"/>
      <c r="AB82" s="194"/>
      <c r="AC82" s="194">
        <v>0.75</v>
      </c>
      <c r="AD82" s="194">
        <v>1</v>
      </c>
      <c r="AE82" s="194">
        <v>1</v>
      </c>
      <c r="AF82" s="194">
        <v>0.8</v>
      </c>
      <c r="AG82" s="194">
        <v>0.66700000000000004</v>
      </c>
      <c r="AH82" s="194">
        <v>3</v>
      </c>
      <c r="AI82" s="194">
        <v>0.75</v>
      </c>
      <c r="AJ82" s="194">
        <v>1</v>
      </c>
      <c r="AK82" s="194">
        <v>1</v>
      </c>
      <c r="AL82" s="140"/>
      <c r="AM82" s="140"/>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row>
    <row r="83" spans="1:61" x14ac:dyDescent="0.3">
      <c r="A83" s="193" t="s">
        <v>372</v>
      </c>
      <c r="B83" s="194">
        <v>1</v>
      </c>
      <c r="C83" s="194">
        <v>1</v>
      </c>
      <c r="D83" s="194">
        <v>3</v>
      </c>
      <c r="E83" s="194">
        <v>1</v>
      </c>
      <c r="F83" s="194">
        <v>1</v>
      </c>
      <c r="G83" s="194">
        <v>2</v>
      </c>
      <c r="H83" s="194">
        <v>1</v>
      </c>
      <c r="I83" s="194">
        <v>1</v>
      </c>
      <c r="J83" s="194">
        <v>4</v>
      </c>
      <c r="K83" s="194">
        <v>0.875</v>
      </c>
      <c r="L83" s="194">
        <v>1</v>
      </c>
      <c r="M83" s="194">
        <v>5</v>
      </c>
      <c r="N83" s="194">
        <v>0.88900000000000001</v>
      </c>
      <c r="O83" s="194">
        <v>0.71399999999999997</v>
      </c>
      <c r="P83" s="194">
        <v>7</v>
      </c>
      <c r="Q83" s="194">
        <v>0.90900000000000003</v>
      </c>
      <c r="R83" s="194">
        <v>1</v>
      </c>
      <c r="S83" s="194">
        <v>6</v>
      </c>
      <c r="T83" s="194">
        <v>1</v>
      </c>
      <c r="U83" s="194">
        <v>1</v>
      </c>
      <c r="V83" s="194">
        <v>9</v>
      </c>
      <c r="W83" s="194">
        <v>1</v>
      </c>
      <c r="X83" s="194">
        <v>1</v>
      </c>
      <c r="Y83" s="194">
        <v>9</v>
      </c>
      <c r="Z83" s="194">
        <v>1</v>
      </c>
      <c r="AA83" s="194">
        <v>1</v>
      </c>
      <c r="AB83" s="194">
        <v>7</v>
      </c>
      <c r="AC83" s="194">
        <v>1</v>
      </c>
      <c r="AD83" s="194">
        <v>1</v>
      </c>
      <c r="AE83" s="194">
        <v>7</v>
      </c>
      <c r="AF83" s="194">
        <v>1</v>
      </c>
      <c r="AG83" s="194">
        <v>1</v>
      </c>
      <c r="AH83" s="194">
        <v>7</v>
      </c>
      <c r="AI83" s="194">
        <v>1</v>
      </c>
      <c r="AJ83" s="194">
        <v>1</v>
      </c>
      <c r="AK83" s="194">
        <v>10</v>
      </c>
      <c r="AL83" s="140"/>
      <c r="AM83" s="140"/>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row>
    <row r="84" spans="1:61" x14ac:dyDescent="0.3">
      <c r="A84" s="193" t="s">
        <v>354</v>
      </c>
      <c r="B84" s="194">
        <v>1</v>
      </c>
      <c r="C84" s="194">
        <v>1</v>
      </c>
      <c r="D84" s="194">
        <v>4</v>
      </c>
      <c r="E84" s="194">
        <v>0.91700000000000004</v>
      </c>
      <c r="F84" s="194">
        <v>1</v>
      </c>
      <c r="G84" s="194">
        <v>1</v>
      </c>
      <c r="H84" s="194">
        <v>0.93799999999999994</v>
      </c>
      <c r="I84" s="194">
        <v>0.85699999999999998</v>
      </c>
      <c r="J84" s="194">
        <v>7</v>
      </c>
      <c r="K84" s="194">
        <v>0.88900000000000001</v>
      </c>
      <c r="L84" s="194">
        <v>1</v>
      </c>
      <c r="M84" s="194">
        <v>8</v>
      </c>
      <c r="N84" s="194">
        <v>0.92300000000000004</v>
      </c>
      <c r="O84" s="194">
        <v>0.66700000000000004</v>
      </c>
      <c r="P84" s="194">
        <v>3</v>
      </c>
      <c r="Q84" s="194">
        <v>0.92900000000000005</v>
      </c>
      <c r="R84" s="194">
        <v>1</v>
      </c>
      <c r="S84" s="194">
        <v>2</v>
      </c>
      <c r="T84" s="194">
        <v>1</v>
      </c>
      <c r="U84" s="194">
        <v>1</v>
      </c>
      <c r="V84" s="194">
        <v>9</v>
      </c>
      <c r="W84" s="194">
        <v>1</v>
      </c>
      <c r="X84" s="194">
        <v>1</v>
      </c>
      <c r="Y84" s="194">
        <v>10</v>
      </c>
      <c r="Z84" s="194">
        <v>1</v>
      </c>
      <c r="AA84" s="194">
        <v>1</v>
      </c>
      <c r="AB84" s="194">
        <v>6</v>
      </c>
      <c r="AC84" s="194">
        <v>1</v>
      </c>
      <c r="AD84" s="194">
        <v>1</v>
      </c>
      <c r="AE84" s="194">
        <v>3</v>
      </c>
      <c r="AF84" s="194">
        <v>1</v>
      </c>
      <c r="AG84" s="194">
        <v>1</v>
      </c>
      <c r="AH84" s="194">
        <v>3</v>
      </c>
      <c r="AI84" s="194">
        <v>1</v>
      </c>
      <c r="AJ84" s="194">
        <v>1</v>
      </c>
      <c r="AK84" s="194">
        <v>3</v>
      </c>
      <c r="AL84" s="140"/>
      <c r="AM84" s="140"/>
      <c r="AN84" s="140"/>
      <c r="AO84" s="140"/>
      <c r="AP84" s="140"/>
      <c r="AQ84" s="140"/>
      <c r="AR84" s="140"/>
      <c r="AS84" s="140"/>
      <c r="AT84" s="140"/>
      <c r="AU84" s="140"/>
      <c r="AV84" s="140"/>
      <c r="AW84" s="140"/>
      <c r="AX84" s="140"/>
      <c r="AY84" s="140"/>
      <c r="AZ84" s="140"/>
      <c r="BA84" s="140"/>
      <c r="BB84" s="140"/>
      <c r="BC84" s="140"/>
      <c r="BD84" s="140"/>
      <c r="BE84" s="140"/>
      <c r="BF84" s="140"/>
      <c r="BG84" s="140"/>
      <c r="BH84" s="140"/>
      <c r="BI84" s="140"/>
    </row>
    <row r="85" spans="1:61" x14ac:dyDescent="0.3">
      <c r="A85" s="193" t="s">
        <v>390</v>
      </c>
      <c r="B85" s="194">
        <v>1</v>
      </c>
      <c r="C85" s="194">
        <v>1</v>
      </c>
      <c r="D85" s="194">
        <v>30</v>
      </c>
      <c r="E85" s="194">
        <v>0.97899999999999998</v>
      </c>
      <c r="F85" s="194">
        <v>1</v>
      </c>
      <c r="G85" s="194">
        <v>33</v>
      </c>
      <c r="H85" s="194">
        <v>0.97799999999999998</v>
      </c>
      <c r="I85" s="194">
        <v>0.94099999999999995</v>
      </c>
      <c r="J85" s="194">
        <v>34</v>
      </c>
      <c r="K85" s="194">
        <v>0.96899999999999997</v>
      </c>
      <c r="L85" s="194">
        <v>1</v>
      </c>
      <c r="M85" s="194">
        <v>25</v>
      </c>
      <c r="N85" s="194">
        <v>0.96</v>
      </c>
      <c r="O85" s="194">
        <v>0.97299999999999998</v>
      </c>
      <c r="P85" s="194">
        <v>37</v>
      </c>
      <c r="Q85" s="194">
        <v>0.94499999999999995</v>
      </c>
      <c r="R85" s="194">
        <v>0.92300000000000004</v>
      </c>
      <c r="S85" s="194">
        <v>39</v>
      </c>
      <c r="T85" s="194">
        <v>0.91800000000000004</v>
      </c>
      <c r="U85" s="194">
        <v>0.94099999999999995</v>
      </c>
      <c r="V85" s="194">
        <v>34</v>
      </c>
      <c r="W85" s="194">
        <v>0.92700000000000005</v>
      </c>
      <c r="X85" s="194">
        <v>0.89200000000000002</v>
      </c>
      <c r="Y85" s="194">
        <v>37</v>
      </c>
      <c r="Z85" s="194">
        <v>0.92300000000000004</v>
      </c>
      <c r="AA85" s="194">
        <v>0.94899999999999995</v>
      </c>
      <c r="AB85" s="194">
        <v>39</v>
      </c>
      <c r="AC85" s="194">
        <v>0.95799999999999996</v>
      </c>
      <c r="AD85" s="194">
        <v>0.92900000000000005</v>
      </c>
      <c r="AE85" s="194">
        <v>28</v>
      </c>
      <c r="AF85" s="194">
        <v>0.92600000000000005</v>
      </c>
      <c r="AG85" s="194">
        <v>1</v>
      </c>
      <c r="AH85" s="194">
        <v>29</v>
      </c>
      <c r="AI85" s="194">
        <v>0.92500000000000004</v>
      </c>
      <c r="AJ85" s="194">
        <v>0.86799999999999999</v>
      </c>
      <c r="AK85" s="194">
        <v>38</v>
      </c>
      <c r="AL85" s="140"/>
      <c r="AM85" s="140"/>
      <c r="AN85" s="140"/>
      <c r="AO85" s="140"/>
      <c r="AP85" s="140"/>
      <c r="AQ85" s="140"/>
      <c r="AR85" s="140"/>
      <c r="AS85" s="140"/>
      <c r="AT85" s="140"/>
      <c r="AU85" s="140"/>
      <c r="AV85" s="140"/>
      <c r="AW85" s="140"/>
      <c r="AX85" s="140"/>
      <c r="AY85" s="140"/>
      <c r="AZ85" s="140"/>
      <c r="BA85" s="140"/>
      <c r="BB85" s="140"/>
      <c r="BC85" s="140"/>
      <c r="BD85" s="140"/>
      <c r="BE85" s="140"/>
      <c r="BF85" s="140"/>
      <c r="BG85" s="140"/>
      <c r="BH85" s="140"/>
      <c r="BI85" s="140"/>
    </row>
    <row r="86" spans="1:61" x14ac:dyDescent="0.3">
      <c r="A86" s="193" t="s">
        <v>548</v>
      </c>
      <c r="B86" s="194">
        <v>0.96899999999999997</v>
      </c>
      <c r="C86" s="194">
        <v>0.95499999999999996</v>
      </c>
      <c r="D86" s="194">
        <v>22</v>
      </c>
      <c r="E86" s="194">
        <v>0.98</v>
      </c>
      <c r="F86" s="194">
        <v>1</v>
      </c>
      <c r="G86" s="194">
        <v>10</v>
      </c>
      <c r="H86" s="194">
        <v>1</v>
      </c>
      <c r="I86" s="194">
        <v>1</v>
      </c>
      <c r="J86" s="194">
        <v>17</v>
      </c>
      <c r="K86" s="194">
        <v>1</v>
      </c>
      <c r="L86" s="194">
        <v>1</v>
      </c>
      <c r="M86" s="194">
        <v>19</v>
      </c>
      <c r="N86" s="194">
        <v>1</v>
      </c>
      <c r="O86" s="194">
        <v>1</v>
      </c>
      <c r="P86" s="194">
        <v>19</v>
      </c>
      <c r="Q86" s="194">
        <v>1</v>
      </c>
      <c r="R86" s="194">
        <v>1</v>
      </c>
      <c r="S86" s="194">
        <v>19</v>
      </c>
      <c r="T86" s="194">
        <v>1</v>
      </c>
      <c r="U86" s="194">
        <v>1</v>
      </c>
      <c r="V86" s="194">
        <v>20</v>
      </c>
      <c r="W86" s="194">
        <v>1</v>
      </c>
      <c r="X86" s="194">
        <v>1</v>
      </c>
      <c r="Y86" s="194">
        <v>20</v>
      </c>
      <c r="Z86" s="194">
        <v>1</v>
      </c>
      <c r="AA86" s="194">
        <v>1</v>
      </c>
      <c r="AB86" s="194">
        <v>21</v>
      </c>
      <c r="AC86" s="194">
        <v>0.98499999999999999</v>
      </c>
      <c r="AD86" s="194">
        <v>1</v>
      </c>
      <c r="AE86" s="194">
        <v>21</v>
      </c>
      <c r="AF86" s="194">
        <v>0.97099999999999997</v>
      </c>
      <c r="AG86" s="194">
        <v>0.95699999999999996</v>
      </c>
      <c r="AH86" s="194">
        <v>23</v>
      </c>
      <c r="AI86" s="194">
        <v>0.95699999999999996</v>
      </c>
      <c r="AJ86" s="194">
        <v>0.95799999999999996</v>
      </c>
      <c r="AK86" s="194">
        <v>24</v>
      </c>
      <c r="AL86" s="140"/>
      <c r="AM86" s="140"/>
      <c r="AN86" s="140"/>
      <c r="AO86" s="140"/>
      <c r="AP86" s="140"/>
      <c r="AQ86" s="140"/>
      <c r="AR86" s="140"/>
      <c r="AS86" s="140"/>
      <c r="AT86" s="140"/>
      <c r="AU86" s="140"/>
      <c r="AV86" s="140"/>
      <c r="AW86" s="140"/>
      <c r="AX86" s="140"/>
      <c r="AY86" s="140"/>
      <c r="AZ86" s="140"/>
      <c r="BA86" s="140"/>
      <c r="BB86" s="140"/>
      <c r="BC86" s="140"/>
      <c r="BD86" s="140"/>
      <c r="BE86" s="140"/>
      <c r="BF86" s="140"/>
      <c r="BG86" s="140"/>
      <c r="BH86" s="140"/>
      <c r="BI86" s="140"/>
    </row>
    <row r="87" spans="1:61" x14ac:dyDescent="0.3">
      <c r="A87" s="193" t="s">
        <v>518</v>
      </c>
      <c r="B87" s="194">
        <v>0.97</v>
      </c>
      <c r="C87" s="194">
        <v>0.97099999999999997</v>
      </c>
      <c r="D87" s="194">
        <v>34</v>
      </c>
      <c r="E87" s="194">
        <v>0.97899999999999998</v>
      </c>
      <c r="F87" s="194">
        <v>0.97</v>
      </c>
      <c r="G87" s="194">
        <v>33</v>
      </c>
      <c r="H87" s="194">
        <v>0.94599999999999995</v>
      </c>
      <c r="I87" s="194">
        <v>1</v>
      </c>
      <c r="J87" s="194">
        <v>29</v>
      </c>
      <c r="K87" s="194">
        <v>0.84599999999999997</v>
      </c>
      <c r="L87" s="194">
        <v>0.871</v>
      </c>
      <c r="M87" s="194">
        <v>31</v>
      </c>
      <c r="N87" s="194">
        <v>0.82</v>
      </c>
      <c r="O87" s="194">
        <v>0.72699999999999998</v>
      </c>
      <c r="P87" s="194">
        <v>44</v>
      </c>
      <c r="Q87" s="194">
        <v>0.84299999999999997</v>
      </c>
      <c r="R87" s="194">
        <v>0.92</v>
      </c>
      <c r="S87" s="194">
        <v>25</v>
      </c>
      <c r="T87" s="194">
        <v>0.88900000000000001</v>
      </c>
      <c r="U87" s="194">
        <v>0.93899999999999995</v>
      </c>
      <c r="V87" s="194">
        <v>33</v>
      </c>
      <c r="W87" s="194">
        <v>0.91300000000000003</v>
      </c>
      <c r="X87" s="194">
        <v>0.81299999999999994</v>
      </c>
      <c r="Y87" s="194">
        <v>32</v>
      </c>
      <c r="Z87" s="194">
        <v>0.89200000000000002</v>
      </c>
      <c r="AA87" s="194">
        <v>0.96</v>
      </c>
      <c r="AB87" s="194">
        <v>50</v>
      </c>
      <c r="AC87" s="194">
        <v>0.92900000000000005</v>
      </c>
      <c r="AD87" s="194">
        <v>0.86199999999999999</v>
      </c>
      <c r="AE87" s="194">
        <v>29</v>
      </c>
      <c r="AF87" s="194">
        <v>0.90600000000000003</v>
      </c>
      <c r="AG87" s="194">
        <v>0.93799999999999994</v>
      </c>
      <c r="AH87" s="194">
        <v>48</v>
      </c>
      <c r="AI87" s="194">
        <v>0.92</v>
      </c>
      <c r="AJ87" s="194">
        <v>0.9</v>
      </c>
      <c r="AK87" s="194">
        <v>40</v>
      </c>
      <c r="AL87" s="140"/>
      <c r="AM87" s="140"/>
      <c r="AN87" s="140"/>
      <c r="AO87" s="140"/>
      <c r="AP87" s="140"/>
      <c r="AQ87" s="140"/>
      <c r="AR87" s="140"/>
      <c r="AS87" s="140"/>
      <c r="AT87" s="140"/>
      <c r="AU87" s="140"/>
      <c r="AV87" s="140"/>
      <c r="AW87" s="140"/>
      <c r="AX87" s="140"/>
      <c r="AY87" s="140"/>
      <c r="AZ87" s="140"/>
      <c r="BA87" s="140"/>
      <c r="BB87" s="140"/>
      <c r="BC87" s="140"/>
      <c r="BD87" s="140"/>
      <c r="BE87" s="140"/>
      <c r="BF87" s="140"/>
      <c r="BG87" s="140"/>
      <c r="BH87" s="140"/>
      <c r="BI87" s="140"/>
    </row>
    <row r="88" spans="1:61" x14ac:dyDescent="0.3">
      <c r="A88" s="193" t="s">
        <v>514</v>
      </c>
      <c r="B88" s="194">
        <v>1</v>
      </c>
      <c r="C88" s="194">
        <v>1</v>
      </c>
      <c r="D88" s="194">
        <v>2</v>
      </c>
      <c r="E88" s="194">
        <v>1</v>
      </c>
      <c r="F88" s="194">
        <v>1</v>
      </c>
      <c r="G88" s="194">
        <v>2</v>
      </c>
      <c r="H88" s="194">
        <v>0.8</v>
      </c>
      <c r="I88" s="194">
        <v>1</v>
      </c>
      <c r="J88" s="194">
        <v>1</v>
      </c>
      <c r="K88" s="194">
        <v>0.83299999999999996</v>
      </c>
      <c r="L88" s="194">
        <v>0.5</v>
      </c>
      <c r="M88" s="194">
        <v>2</v>
      </c>
      <c r="N88" s="194">
        <v>0.83299999999999996</v>
      </c>
      <c r="O88" s="194">
        <v>1</v>
      </c>
      <c r="P88" s="194">
        <v>3</v>
      </c>
      <c r="Q88" s="194">
        <v>1</v>
      </c>
      <c r="R88" s="194">
        <v>1</v>
      </c>
      <c r="S88" s="194">
        <v>1</v>
      </c>
      <c r="T88" s="194">
        <v>1</v>
      </c>
      <c r="U88" s="194">
        <v>1</v>
      </c>
      <c r="V88" s="194">
        <v>2</v>
      </c>
      <c r="W88" s="194">
        <v>0.875</v>
      </c>
      <c r="X88" s="194">
        <v>1</v>
      </c>
      <c r="Y88" s="194">
        <v>1</v>
      </c>
      <c r="Z88" s="194">
        <v>0.92300000000000004</v>
      </c>
      <c r="AA88" s="194">
        <v>0.8</v>
      </c>
      <c r="AB88" s="194">
        <v>5</v>
      </c>
      <c r="AC88" s="194">
        <v>0.94099999999999995</v>
      </c>
      <c r="AD88" s="194">
        <v>1</v>
      </c>
      <c r="AE88" s="194">
        <v>7</v>
      </c>
      <c r="AF88" s="194">
        <v>1</v>
      </c>
      <c r="AG88" s="194">
        <v>1</v>
      </c>
      <c r="AH88" s="194">
        <v>5</v>
      </c>
      <c r="AI88" s="194">
        <v>1</v>
      </c>
      <c r="AJ88" s="194">
        <v>1</v>
      </c>
      <c r="AK88" s="194">
        <v>5</v>
      </c>
      <c r="AL88" s="140"/>
      <c r="AM88" s="140"/>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row>
    <row r="89" spans="1:61" x14ac:dyDescent="0.3">
      <c r="A89" s="193" t="s">
        <v>496</v>
      </c>
      <c r="B89" s="194">
        <v>0.98799999999999999</v>
      </c>
      <c r="C89" s="194">
        <v>0.97299999999999998</v>
      </c>
      <c r="D89" s="194">
        <v>37</v>
      </c>
      <c r="E89" s="194">
        <v>0.98299999999999998</v>
      </c>
      <c r="F89" s="194">
        <v>1</v>
      </c>
      <c r="G89" s="194">
        <v>44</v>
      </c>
      <c r="H89" s="194">
        <v>0.98399999999999999</v>
      </c>
      <c r="I89" s="194">
        <v>0.97499999999999998</v>
      </c>
      <c r="J89" s="194">
        <v>40</v>
      </c>
      <c r="K89" s="194">
        <v>0.96299999999999997</v>
      </c>
      <c r="L89" s="194">
        <v>0.97399999999999998</v>
      </c>
      <c r="M89" s="194">
        <v>39</v>
      </c>
      <c r="N89" s="194">
        <v>0.92700000000000005</v>
      </c>
      <c r="O89" s="194">
        <v>0.93300000000000005</v>
      </c>
      <c r="P89" s="194">
        <v>30</v>
      </c>
      <c r="Q89" s="194">
        <v>0.92</v>
      </c>
      <c r="R89" s="194">
        <v>0.875</v>
      </c>
      <c r="S89" s="194">
        <v>40</v>
      </c>
      <c r="T89" s="194">
        <v>0.94</v>
      </c>
      <c r="U89" s="194">
        <v>0.95299999999999996</v>
      </c>
      <c r="V89" s="194">
        <v>43</v>
      </c>
      <c r="W89" s="194">
        <v>0.96899999999999997</v>
      </c>
      <c r="X89" s="194">
        <v>1</v>
      </c>
      <c r="Y89" s="194">
        <v>33</v>
      </c>
      <c r="Z89" s="194">
        <v>0.97799999999999998</v>
      </c>
      <c r="AA89" s="194">
        <v>0.95499999999999996</v>
      </c>
      <c r="AB89" s="194">
        <v>22</v>
      </c>
      <c r="AC89" s="194">
        <v>0.94499999999999995</v>
      </c>
      <c r="AD89" s="194">
        <v>0.97199999999999998</v>
      </c>
      <c r="AE89" s="194">
        <v>36</v>
      </c>
      <c r="AF89" s="194">
        <v>0.94599999999999995</v>
      </c>
      <c r="AG89" s="194">
        <v>0.92300000000000004</v>
      </c>
      <c r="AH89" s="194">
        <v>52</v>
      </c>
      <c r="AI89" s="194">
        <v>0.93600000000000005</v>
      </c>
      <c r="AJ89" s="194">
        <v>0.95199999999999996</v>
      </c>
      <c r="AK89" s="194">
        <v>42</v>
      </c>
      <c r="AL89" s="140"/>
      <c r="AM89" s="140"/>
      <c r="AN89" s="140"/>
      <c r="AO89" s="140"/>
      <c r="AP89" s="140"/>
      <c r="AQ89" s="140"/>
      <c r="AR89" s="140"/>
      <c r="AS89" s="140"/>
      <c r="AT89" s="140"/>
      <c r="AU89" s="140"/>
      <c r="AV89" s="140"/>
      <c r="AW89" s="140"/>
      <c r="AX89" s="140"/>
      <c r="AY89" s="140"/>
      <c r="AZ89" s="140"/>
      <c r="BA89" s="140"/>
      <c r="BB89" s="140"/>
      <c r="BC89" s="140"/>
      <c r="BD89" s="140"/>
      <c r="BE89" s="140"/>
      <c r="BF89" s="140"/>
      <c r="BG89" s="140"/>
      <c r="BH89" s="140"/>
      <c r="BI89" s="140"/>
    </row>
    <row r="90" spans="1:61" x14ac:dyDescent="0.3">
      <c r="A90" s="193" t="s">
        <v>359</v>
      </c>
      <c r="B90" s="194">
        <v>1</v>
      </c>
      <c r="C90" s="194">
        <v>1</v>
      </c>
      <c r="D90" s="194">
        <v>12</v>
      </c>
      <c r="E90" s="194">
        <v>0.94899999999999995</v>
      </c>
      <c r="F90" s="194">
        <v>1</v>
      </c>
      <c r="G90" s="194">
        <v>14</v>
      </c>
      <c r="H90" s="194">
        <v>0.89600000000000002</v>
      </c>
      <c r="I90" s="194">
        <v>0.84599999999999997</v>
      </c>
      <c r="J90" s="194">
        <v>13</v>
      </c>
      <c r="K90" s="194">
        <v>0.875</v>
      </c>
      <c r="L90" s="194">
        <v>0.85699999999999998</v>
      </c>
      <c r="M90" s="194">
        <v>21</v>
      </c>
      <c r="N90" s="194">
        <v>0.84499999999999997</v>
      </c>
      <c r="O90" s="194">
        <v>0.90900000000000003</v>
      </c>
      <c r="P90" s="194">
        <v>22</v>
      </c>
      <c r="Q90" s="194">
        <v>0.83099999999999996</v>
      </c>
      <c r="R90" s="194">
        <v>0.78600000000000003</v>
      </c>
      <c r="S90" s="194">
        <v>28</v>
      </c>
      <c r="T90" s="194">
        <v>0.77800000000000002</v>
      </c>
      <c r="U90" s="194">
        <v>0.8</v>
      </c>
      <c r="V90" s="194">
        <v>15</v>
      </c>
      <c r="W90" s="194">
        <v>0.745</v>
      </c>
      <c r="X90" s="194">
        <v>0.72699999999999998</v>
      </c>
      <c r="Y90" s="194">
        <v>11</v>
      </c>
      <c r="Z90" s="194">
        <v>0.75</v>
      </c>
      <c r="AA90" s="194">
        <v>0.72</v>
      </c>
      <c r="AB90" s="194">
        <v>25</v>
      </c>
      <c r="AC90" s="194">
        <v>0.79700000000000004</v>
      </c>
      <c r="AD90" s="194">
        <v>0.81299999999999994</v>
      </c>
      <c r="AE90" s="194">
        <v>16</v>
      </c>
      <c r="AF90" s="194">
        <v>0.84399999999999997</v>
      </c>
      <c r="AG90" s="194">
        <v>0.85699999999999998</v>
      </c>
      <c r="AH90" s="194">
        <v>28</v>
      </c>
      <c r="AI90" s="194">
        <v>0.85399999999999998</v>
      </c>
      <c r="AJ90" s="194">
        <v>0.85</v>
      </c>
      <c r="AK90" s="194">
        <v>20</v>
      </c>
      <c r="AL90" s="140"/>
      <c r="AM90" s="140"/>
      <c r="AN90" s="140"/>
      <c r="AO90" s="140"/>
      <c r="AP90" s="140"/>
      <c r="AQ90" s="140"/>
      <c r="AR90" s="140"/>
      <c r="AS90" s="140"/>
      <c r="AT90" s="140"/>
      <c r="AU90" s="140"/>
      <c r="AV90" s="140"/>
      <c r="AW90" s="140"/>
      <c r="AX90" s="140"/>
      <c r="AY90" s="140"/>
      <c r="AZ90" s="140"/>
      <c r="BA90" s="140"/>
      <c r="BB90" s="140"/>
      <c r="BC90" s="140"/>
      <c r="BD90" s="140"/>
      <c r="BE90" s="140"/>
      <c r="BF90" s="140"/>
      <c r="BG90" s="140"/>
      <c r="BH90" s="140"/>
      <c r="BI90" s="140"/>
    </row>
    <row r="91" spans="1:61" x14ac:dyDescent="0.3">
      <c r="A91" s="193" t="s">
        <v>431</v>
      </c>
      <c r="B91" s="194">
        <v>0.88200000000000001</v>
      </c>
      <c r="C91" s="194">
        <v>0.83299999999999996</v>
      </c>
      <c r="D91" s="194">
        <v>6</v>
      </c>
      <c r="E91" s="194">
        <v>0.93799999999999994</v>
      </c>
      <c r="F91" s="194">
        <v>0.90900000000000003</v>
      </c>
      <c r="G91" s="194">
        <v>11</v>
      </c>
      <c r="H91" s="194">
        <v>0.97599999999999998</v>
      </c>
      <c r="I91" s="194">
        <v>1</v>
      </c>
      <c r="J91" s="194">
        <v>15</v>
      </c>
      <c r="K91" s="194">
        <v>1</v>
      </c>
      <c r="L91" s="194">
        <v>1</v>
      </c>
      <c r="M91" s="194">
        <v>15</v>
      </c>
      <c r="N91" s="194">
        <v>1</v>
      </c>
      <c r="O91" s="194">
        <v>1</v>
      </c>
      <c r="P91" s="194">
        <v>21</v>
      </c>
      <c r="Q91" s="194">
        <v>1</v>
      </c>
      <c r="R91" s="194">
        <v>1</v>
      </c>
      <c r="S91" s="194">
        <v>27</v>
      </c>
      <c r="T91" s="194">
        <v>0.96899999999999997</v>
      </c>
      <c r="U91" s="194">
        <v>1</v>
      </c>
      <c r="V91" s="194">
        <v>20</v>
      </c>
      <c r="W91" s="194">
        <v>0.95599999999999996</v>
      </c>
      <c r="X91" s="194">
        <v>0.88900000000000001</v>
      </c>
      <c r="Y91" s="194">
        <v>18</v>
      </c>
      <c r="Z91" s="194">
        <v>0.93100000000000005</v>
      </c>
      <c r="AA91" s="194">
        <v>0.96699999999999997</v>
      </c>
      <c r="AB91" s="194">
        <v>30</v>
      </c>
      <c r="AC91" s="194">
        <v>0.94399999999999995</v>
      </c>
      <c r="AD91" s="194">
        <v>0.91700000000000004</v>
      </c>
      <c r="AE91" s="194">
        <v>24</v>
      </c>
      <c r="AF91" s="194">
        <v>0.92300000000000004</v>
      </c>
      <c r="AG91" s="194">
        <v>0.94399999999999995</v>
      </c>
      <c r="AH91" s="194">
        <v>18</v>
      </c>
      <c r="AI91" s="194">
        <v>0.92900000000000005</v>
      </c>
      <c r="AJ91" s="194">
        <v>0.9</v>
      </c>
      <c r="AK91" s="194">
        <v>10</v>
      </c>
      <c r="AL91" s="140"/>
      <c r="AM91" s="140"/>
      <c r="AN91" s="140"/>
      <c r="AO91" s="140"/>
      <c r="AP91" s="140"/>
      <c r="AQ91" s="140"/>
      <c r="AR91" s="140"/>
      <c r="AS91" s="140"/>
      <c r="AT91" s="140"/>
      <c r="AU91" s="140"/>
      <c r="AV91" s="140"/>
      <c r="AW91" s="140"/>
      <c r="AX91" s="140"/>
      <c r="AY91" s="140"/>
      <c r="AZ91" s="140"/>
      <c r="BA91" s="140"/>
      <c r="BB91" s="140"/>
      <c r="BC91" s="140"/>
      <c r="BD91" s="140"/>
      <c r="BE91" s="140"/>
      <c r="BF91" s="140"/>
      <c r="BG91" s="140"/>
      <c r="BH91" s="140"/>
      <c r="BI91" s="140"/>
    </row>
    <row r="92" spans="1:61" x14ac:dyDescent="0.3">
      <c r="A92" s="193" t="s">
        <v>526</v>
      </c>
      <c r="B92" s="194">
        <v>0.88900000000000001</v>
      </c>
      <c r="C92" s="194">
        <v>0.91700000000000004</v>
      </c>
      <c r="D92" s="194">
        <v>24</v>
      </c>
      <c r="E92" s="194">
        <v>0.90500000000000003</v>
      </c>
      <c r="F92" s="194">
        <v>0.85699999999999998</v>
      </c>
      <c r="G92" s="194">
        <v>21</v>
      </c>
      <c r="H92" s="194">
        <v>0.89300000000000002</v>
      </c>
      <c r="I92" s="194">
        <v>0.93100000000000005</v>
      </c>
      <c r="J92" s="194">
        <v>29</v>
      </c>
      <c r="K92" s="194">
        <v>0.89500000000000002</v>
      </c>
      <c r="L92" s="194">
        <v>0.88200000000000001</v>
      </c>
      <c r="M92" s="194">
        <v>34</v>
      </c>
      <c r="N92" s="194">
        <v>0.86799999999999999</v>
      </c>
      <c r="O92" s="194">
        <v>0.87</v>
      </c>
      <c r="P92" s="194">
        <v>23</v>
      </c>
      <c r="Q92" s="194">
        <v>0.89</v>
      </c>
      <c r="R92" s="194">
        <v>0.84199999999999997</v>
      </c>
      <c r="S92" s="194">
        <v>19</v>
      </c>
      <c r="T92" s="194">
        <v>0.88200000000000001</v>
      </c>
      <c r="U92" s="194">
        <v>0.93500000000000005</v>
      </c>
      <c r="V92" s="194">
        <v>31</v>
      </c>
      <c r="W92" s="194">
        <v>0.85199999999999998</v>
      </c>
      <c r="X92" s="194">
        <v>0.83299999999999996</v>
      </c>
      <c r="Y92" s="194">
        <v>18</v>
      </c>
      <c r="Z92" s="194">
        <v>0.80600000000000005</v>
      </c>
      <c r="AA92" s="194">
        <v>0.78100000000000003</v>
      </c>
      <c r="AB92" s="194">
        <v>32</v>
      </c>
      <c r="AC92" s="194">
        <v>0.78800000000000003</v>
      </c>
      <c r="AD92" s="194">
        <v>0.81799999999999995</v>
      </c>
      <c r="AE92" s="194">
        <v>22</v>
      </c>
      <c r="AF92" s="194">
        <v>0.80300000000000005</v>
      </c>
      <c r="AG92" s="194">
        <v>0.76900000000000002</v>
      </c>
      <c r="AH92" s="194">
        <v>26</v>
      </c>
      <c r="AI92" s="194">
        <v>0.79600000000000004</v>
      </c>
      <c r="AJ92" s="194">
        <v>0.82099999999999995</v>
      </c>
      <c r="AK92" s="194">
        <v>28</v>
      </c>
      <c r="AL92" s="140"/>
      <c r="AM92" s="140"/>
      <c r="AN92" s="140"/>
      <c r="AO92" s="140"/>
      <c r="AP92" s="140"/>
      <c r="AQ92" s="140"/>
      <c r="AR92" s="140"/>
      <c r="AS92" s="140"/>
      <c r="AT92" s="140"/>
      <c r="AU92" s="140"/>
      <c r="AV92" s="140"/>
      <c r="AW92" s="140"/>
      <c r="AX92" s="140"/>
      <c r="AY92" s="140"/>
      <c r="AZ92" s="140"/>
      <c r="BA92" s="140"/>
      <c r="BB92" s="140"/>
      <c r="BC92" s="140"/>
      <c r="BD92" s="140"/>
      <c r="BE92" s="140"/>
      <c r="BF92" s="140"/>
      <c r="BG92" s="140"/>
      <c r="BH92" s="140"/>
      <c r="BI92" s="140"/>
    </row>
    <row r="93" spans="1:61" x14ac:dyDescent="0.3">
      <c r="A93" s="193" t="s">
        <v>435</v>
      </c>
      <c r="B93" s="194">
        <v>0.83599999999999997</v>
      </c>
      <c r="C93" s="194">
        <v>0.82099999999999995</v>
      </c>
      <c r="D93" s="194">
        <v>28</v>
      </c>
      <c r="E93" s="194">
        <v>0.84499999999999997</v>
      </c>
      <c r="F93" s="194">
        <v>0.85199999999999998</v>
      </c>
      <c r="G93" s="194">
        <v>27</v>
      </c>
      <c r="H93" s="194">
        <v>0.878</v>
      </c>
      <c r="I93" s="194">
        <v>0.86199999999999999</v>
      </c>
      <c r="J93" s="194">
        <v>29</v>
      </c>
      <c r="K93" s="194">
        <v>0.83899999999999997</v>
      </c>
      <c r="L93" s="194">
        <v>0.92300000000000004</v>
      </c>
      <c r="M93" s="194">
        <v>26</v>
      </c>
      <c r="N93" s="194">
        <v>0.83299999999999996</v>
      </c>
      <c r="O93" s="194">
        <v>0.76300000000000001</v>
      </c>
      <c r="P93" s="194">
        <v>38</v>
      </c>
      <c r="Q93" s="194">
        <v>0.80200000000000005</v>
      </c>
      <c r="R93" s="194">
        <v>0.84199999999999997</v>
      </c>
      <c r="S93" s="194">
        <v>38</v>
      </c>
      <c r="T93" s="194">
        <v>0.82899999999999996</v>
      </c>
      <c r="U93" s="194">
        <v>0.8</v>
      </c>
      <c r="V93" s="194">
        <v>35</v>
      </c>
      <c r="W93" s="194">
        <v>0.78800000000000003</v>
      </c>
      <c r="X93" s="194">
        <v>0.84399999999999997</v>
      </c>
      <c r="Y93" s="194">
        <v>32</v>
      </c>
      <c r="Z93" s="194">
        <v>0.81299999999999994</v>
      </c>
      <c r="AA93" s="194">
        <v>0.71899999999999997</v>
      </c>
      <c r="AB93" s="194">
        <v>32</v>
      </c>
      <c r="AC93" s="194">
        <v>0.77800000000000002</v>
      </c>
      <c r="AD93" s="194">
        <v>0.875</v>
      </c>
      <c r="AE93" s="194">
        <v>32</v>
      </c>
      <c r="AF93" s="194">
        <v>0.79800000000000004</v>
      </c>
      <c r="AG93" s="194">
        <v>0.74299999999999999</v>
      </c>
      <c r="AH93" s="194">
        <v>35</v>
      </c>
      <c r="AI93" s="194">
        <v>0.76100000000000001</v>
      </c>
      <c r="AJ93" s="194">
        <v>0.78100000000000003</v>
      </c>
      <c r="AK93" s="194">
        <v>32</v>
      </c>
      <c r="AL93" s="140"/>
      <c r="AM93" s="140"/>
      <c r="AN93" s="140"/>
      <c r="AO93" s="140"/>
      <c r="AP93" s="140"/>
      <c r="AQ93" s="140"/>
      <c r="AR93" s="140"/>
      <c r="AS93" s="140"/>
      <c r="AT93" s="140"/>
      <c r="AU93" s="140"/>
      <c r="AV93" s="140"/>
      <c r="AW93" s="140"/>
      <c r="AX93" s="140"/>
      <c r="AY93" s="140"/>
      <c r="AZ93" s="140"/>
      <c r="BA93" s="140"/>
      <c r="BB93" s="140"/>
      <c r="BC93" s="140"/>
      <c r="BD93" s="140"/>
      <c r="BE93" s="140"/>
      <c r="BF93" s="140"/>
      <c r="BG93" s="140"/>
      <c r="BH93" s="140"/>
      <c r="BI93" s="140"/>
    </row>
    <row r="94" spans="1:61" x14ac:dyDescent="0.3">
      <c r="A94" s="193" t="s">
        <v>267</v>
      </c>
      <c r="B94" s="194">
        <v>0.95199999999999996</v>
      </c>
      <c r="C94" s="194">
        <v>0.90900000000000003</v>
      </c>
      <c r="D94" s="194">
        <v>11</v>
      </c>
      <c r="E94" s="194">
        <v>0.90900000000000003</v>
      </c>
      <c r="F94" s="194">
        <v>1</v>
      </c>
      <c r="G94" s="194">
        <v>10</v>
      </c>
      <c r="H94" s="194">
        <v>0.88600000000000001</v>
      </c>
      <c r="I94" s="194">
        <v>0.83299999999999996</v>
      </c>
      <c r="J94" s="194">
        <v>12</v>
      </c>
      <c r="K94" s="194">
        <v>0.85699999999999998</v>
      </c>
      <c r="L94" s="194">
        <v>0.86399999999999999</v>
      </c>
      <c r="M94" s="194">
        <v>22</v>
      </c>
      <c r="N94" s="194">
        <v>0.879</v>
      </c>
      <c r="O94" s="194">
        <v>0.86399999999999999</v>
      </c>
      <c r="P94" s="194">
        <v>22</v>
      </c>
      <c r="Q94" s="194">
        <v>0.87</v>
      </c>
      <c r="R94" s="194">
        <v>0.90900000000000003</v>
      </c>
      <c r="S94" s="194">
        <v>22</v>
      </c>
      <c r="T94" s="194">
        <v>0.86</v>
      </c>
      <c r="U94" s="194">
        <v>0.8</v>
      </c>
      <c r="V94" s="194">
        <v>10</v>
      </c>
      <c r="W94" s="194">
        <v>0.8</v>
      </c>
      <c r="X94" s="194">
        <v>0.83299999999999996</v>
      </c>
      <c r="Y94" s="194">
        <v>18</v>
      </c>
      <c r="Z94" s="194">
        <v>0.84399999999999997</v>
      </c>
      <c r="AA94" s="194">
        <v>0.75</v>
      </c>
      <c r="AB94" s="194">
        <v>12</v>
      </c>
      <c r="AC94" s="194">
        <v>0.83699999999999997</v>
      </c>
      <c r="AD94" s="194">
        <v>0.93300000000000005</v>
      </c>
      <c r="AE94" s="194">
        <v>15</v>
      </c>
      <c r="AF94" s="194">
        <v>0.86</v>
      </c>
      <c r="AG94" s="194">
        <v>0.81299999999999994</v>
      </c>
      <c r="AH94" s="194">
        <v>16</v>
      </c>
      <c r="AI94" s="194">
        <v>0.82899999999999996</v>
      </c>
      <c r="AJ94" s="194">
        <v>0.84199999999999997</v>
      </c>
      <c r="AK94" s="194">
        <v>19</v>
      </c>
      <c r="AL94" s="140"/>
      <c r="AM94" s="140"/>
      <c r="AN94" s="140"/>
      <c r="AO94" s="140"/>
      <c r="AP94" s="140"/>
      <c r="AQ94" s="140"/>
      <c r="AR94" s="140"/>
      <c r="AS94" s="140"/>
      <c r="AT94" s="140"/>
      <c r="AU94" s="140"/>
      <c r="AV94" s="140"/>
      <c r="AW94" s="140"/>
      <c r="AX94" s="140"/>
      <c r="AY94" s="140"/>
      <c r="AZ94" s="140"/>
      <c r="BA94" s="140"/>
      <c r="BB94" s="140"/>
      <c r="BC94" s="140"/>
      <c r="BD94" s="140"/>
      <c r="BE94" s="140"/>
      <c r="BF94" s="140"/>
      <c r="BG94" s="140"/>
      <c r="BH94" s="140"/>
      <c r="BI94" s="140"/>
    </row>
    <row r="95" spans="1:61" x14ac:dyDescent="0.3">
      <c r="A95" s="193" t="s">
        <v>484</v>
      </c>
      <c r="B95" s="194">
        <v>0.94899999999999995</v>
      </c>
      <c r="C95" s="194">
        <v>0.90500000000000003</v>
      </c>
      <c r="D95" s="194">
        <v>21</v>
      </c>
      <c r="E95" s="194">
        <v>0.91500000000000004</v>
      </c>
      <c r="F95" s="194">
        <v>1</v>
      </c>
      <c r="G95" s="194">
        <v>18</v>
      </c>
      <c r="H95" s="194">
        <v>0.89500000000000002</v>
      </c>
      <c r="I95" s="194">
        <v>0.85</v>
      </c>
      <c r="J95" s="194">
        <v>20</v>
      </c>
      <c r="K95" s="194">
        <v>0.88100000000000001</v>
      </c>
      <c r="L95" s="194">
        <v>0.84199999999999997</v>
      </c>
      <c r="M95" s="194">
        <v>19</v>
      </c>
      <c r="N95" s="194">
        <v>0.88</v>
      </c>
      <c r="O95" s="194">
        <v>0.92900000000000005</v>
      </c>
      <c r="P95" s="194">
        <v>28</v>
      </c>
      <c r="Q95" s="194">
        <v>0.873</v>
      </c>
      <c r="R95" s="194">
        <v>0.85699999999999998</v>
      </c>
      <c r="S95" s="194">
        <v>28</v>
      </c>
      <c r="T95" s="194">
        <v>0.82799999999999996</v>
      </c>
      <c r="U95" s="194">
        <v>0.82599999999999996</v>
      </c>
      <c r="V95" s="194">
        <v>23</v>
      </c>
      <c r="W95" s="194">
        <v>0.83899999999999997</v>
      </c>
      <c r="X95" s="194">
        <v>0.76900000000000002</v>
      </c>
      <c r="Y95" s="194">
        <v>13</v>
      </c>
      <c r="Z95" s="194">
        <v>0.83</v>
      </c>
      <c r="AA95" s="194">
        <v>0.9</v>
      </c>
      <c r="AB95" s="194">
        <v>20</v>
      </c>
      <c r="AC95" s="194">
        <v>0.88600000000000001</v>
      </c>
      <c r="AD95" s="194">
        <v>0.8</v>
      </c>
      <c r="AE95" s="194">
        <v>20</v>
      </c>
      <c r="AF95" s="194">
        <v>0.83099999999999996</v>
      </c>
      <c r="AG95" s="194">
        <v>0.93300000000000005</v>
      </c>
      <c r="AH95" s="194">
        <v>30</v>
      </c>
      <c r="AI95" s="194">
        <v>0.84199999999999997</v>
      </c>
      <c r="AJ95" s="194">
        <v>0.74099999999999999</v>
      </c>
      <c r="AK95" s="194">
        <v>27</v>
      </c>
      <c r="AL95" s="140"/>
      <c r="AM95" s="140"/>
      <c r="AN95" s="140"/>
      <c r="AO95" s="140"/>
      <c r="AP95" s="140"/>
      <c r="AQ95" s="140"/>
      <c r="AR95" s="140"/>
      <c r="AS95" s="140"/>
      <c r="AT95" s="140"/>
      <c r="AU95" s="140"/>
      <c r="AV95" s="140"/>
      <c r="AW95" s="140"/>
      <c r="AX95" s="140"/>
      <c r="AY95" s="140"/>
      <c r="AZ95" s="140"/>
      <c r="BA95" s="140"/>
      <c r="BB95" s="140"/>
      <c r="BC95" s="140"/>
      <c r="BD95" s="140"/>
      <c r="BE95" s="140"/>
      <c r="BF95" s="140"/>
      <c r="BG95" s="140"/>
      <c r="BH95" s="140"/>
      <c r="BI95" s="140"/>
    </row>
    <row r="96" spans="1:61" x14ac:dyDescent="0.3">
      <c r="A96" s="193" t="s">
        <v>470</v>
      </c>
      <c r="B96" s="194">
        <v>0.96799999999999997</v>
      </c>
      <c r="C96" s="194">
        <v>0.91700000000000004</v>
      </c>
      <c r="D96" s="194">
        <v>12</v>
      </c>
      <c r="E96" s="194">
        <v>0.97899999999999998</v>
      </c>
      <c r="F96" s="194">
        <v>1</v>
      </c>
      <c r="G96" s="194">
        <v>19</v>
      </c>
      <c r="H96" s="194">
        <v>0.98</v>
      </c>
      <c r="I96" s="194">
        <v>1</v>
      </c>
      <c r="J96" s="194">
        <v>16</v>
      </c>
      <c r="K96" s="194">
        <v>0.95899999999999996</v>
      </c>
      <c r="L96" s="194">
        <v>0.92900000000000005</v>
      </c>
      <c r="M96" s="194">
        <v>14</v>
      </c>
      <c r="N96" s="194">
        <v>0.96099999999999997</v>
      </c>
      <c r="O96" s="194">
        <v>0.94699999999999995</v>
      </c>
      <c r="P96" s="194">
        <v>19</v>
      </c>
      <c r="Q96" s="194">
        <v>0.98</v>
      </c>
      <c r="R96" s="194">
        <v>1</v>
      </c>
      <c r="S96" s="194">
        <v>18</v>
      </c>
      <c r="T96" s="194">
        <v>0.98099999999999998</v>
      </c>
      <c r="U96" s="194">
        <v>1</v>
      </c>
      <c r="V96" s="194">
        <v>12</v>
      </c>
      <c r="W96" s="194">
        <v>0.96799999999999997</v>
      </c>
      <c r="X96" s="194">
        <v>0.95799999999999996</v>
      </c>
      <c r="Y96" s="194">
        <v>24</v>
      </c>
      <c r="Z96" s="194">
        <v>0.94299999999999995</v>
      </c>
      <c r="AA96" s="194">
        <v>0.96199999999999997</v>
      </c>
      <c r="AB96" s="194">
        <v>26</v>
      </c>
      <c r="AC96" s="194">
        <v>0.93899999999999995</v>
      </c>
      <c r="AD96" s="194">
        <v>0.9</v>
      </c>
      <c r="AE96" s="194">
        <v>20</v>
      </c>
      <c r="AF96" s="194">
        <v>0.94599999999999995</v>
      </c>
      <c r="AG96" s="194">
        <v>0.94399999999999995</v>
      </c>
      <c r="AH96" s="194">
        <v>36</v>
      </c>
      <c r="AI96" s="194">
        <v>0.95799999999999996</v>
      </c>
      <c r="AJ96" s="194">
        <v>0.97199999999999998</v>
      </c>
      <c r="AK96" s="194">
        <v>36</v>
      </c>
      <c r="AL96" s="140"/>
      <c r="AM96" s="140"/>
      <c r="AN96" s="140"/>
      <c r="AO96" s="140"/>
      <c r="AP96" s="140"/>
      <c r="AQ96" s="140"/>
      <c r="AR96" s="140"/>
      <c r="AS96" s="140"/>
      <c r="AT96" s="140"/>
      <c r="AU96" s="140"/>
      <c r="AV96" s="140"/>
      <c r="AW96" s="140"/>
      <c r="AX96" s="140"/>
      <c r="AY96" s="140"/>
      <c r="AZ96" s="140"/>
      <c r="BA96" s="140"/>
      <c r="BB96" s="140"/>
      <c r="BC96" s="140"/>
      <c r="BD96" s="140"/>
      <c r="BE96" s="140"/>
      <c r="BF96" s="140"/>
      <c r="BG96" s="140"/>
      <c r="BH96" s="140"/>
      <c r="BI96" s="140"/>
    </row>
    <row r="97" spans="1:61" x14ac:dyDescent="0.3">
      <c r="A97" s="193" t="s">
        <v>530</v>
      </c>
      <c r="B97" s="194">
        <v>0.91700000000000004</v>
      </c>
      <c r="C97" s="194">
        <v>0.90900000000000003</v>
      </c>
      <c r="D97" s="194">
        <v>11</v>
      </c>
      <c r="E97" s="194">
        <v>0.91200000000000003</v>
      </c>
      <c r="F97" s="194">
        <v>0.92300000000000004</v>
      </c>
      <c r="G97" s="194">
        <v>13</v>
      </c>
      <c r="H97" s="194">
        <v>0.89700000000000002</v>
      </c>
      <c r="I97" s="194">
        <v>0.9</v>
      </c>
      <c r="J97" s="194">
        <v>10</v>
      </c>
      <c r="K97" s="194">
        <v>0.90900000000000003</v>
      </c>
      <c r="L97" s="194">
        <v>0.83299999999999996</v>
      </c>
      <c r="M97" s="194">
        <v>6</v>
      </c>
      <c r="N97" s="194">
        <v>0.88200000000000001</v>
      </c>
      <c r="O97" s="194">
        <v>1</v>
      </c>
      <c r="P97" s="194">
        <v>6</v>
      </c>
      <c r="Q97" s="194">
        <v>0.93799999999999994</v>
      </c>
      <c r="R97" s="194">
        <v>0.8</v>
      </c>
      <c r="S97" s="194">
        <v>5</v>
      </c>
      <c r="T97" s="194">
        <v>0.90500000000000003</v>
      </c>
      <c r="U97" s="194">
        <v>1</v>
      </c>
      <c r="V97" s="194">
        <v>5</v>
      </c>
      <c r="W97" s="194">
        <v>0.96599999999999997</v>
      </c>
      <c r="X97" s="194">
        <v>0.90900000000000003</v>
      </c>
      <c r="Y97" s="194">
        <v>11</v>
      </c>
      <c r="Z97" s="194">
        <v>0.92900000000000005</v>
      </c>
      <c r="AA97" s="194">
        <v>1</v>
      </c>
      <c r="AB97" s="194">
        <v>13</v>
      </c>
      <c r="AC97" s="194">
        <v>0.88</v>
      </c>
      <c r="AD97" s="194">
        <v>0.75</v>
      </c>
      <c r="AE97" s="194">
        <v>4</v>
      </c>
      <c r="AF97" s="194">
        <v>0.78600000000000003</v>
      </c>
      <c r="AG97" s="194">
        <v>0.75</v>
      </c>
      <c r="AH97" s="194">
        <v>8</v>
      </c>
      <c r="AI97" s="194">
        <v>0.8</v>
      </c>
      <c r="AJ97" s="194">
        <v>1</v>
      </c>
      <c r="AK97" s="194">
        <v>2</v>
      </c>
      <c r="AL97" s="140"/>
      <c r="AM97" s="140"/>
      <c r="AN97" s="140"/>
      <c r="AO97" s="140"/>
      <c r="AP97" s="140"/>
      <c r="AQ97" s="140"/>
      <c r="AR97" s="140"/>
      <c r="AS97" s="140"/>
      <c r="AT97" s="140"/>
      <c r="AU97" s="140"/>
      <c r="AV97" s="140"/>
      <c r="AW97" s="140"/>
      <c r="AX97" s="140"/>
      <c r="AY97" s="140"/>
      <c r="AZ97" s="140"/>
      <c r="BA97" s="140"/>
      <c r="BB97" s="140"/>
      <c r="BC97" s="140"/>
      <c r="BD97" s="140"/>
      <c r="BE97" s="140"/>
      <c r="BF97" s="140"/>
      <c r="BG97" s="140"/>
      <c r="BH97" s="140"/>
      <c r="BI97" s="140"/>
    </row>
    <row r="98" spans="1:61" x14ac:dyDescent="0.3">
      <c r="A98" s="193" t="s">
        <v>416</v>
      </c>
      <c r="B98" s="194">
        <v>0.90300000000000002</v>
      </c>
      <c r="C98" s="194">
        <v>0.9</v>
      </c>
      <c r="D98" s="194">
        <v>40</v>
      </c>
      <c r="E98" s="194">
        <v>0.92500000000000004</v>
      </c>
      <c r="F98" s="194">
        <v>0.90600000000000003</v>
      </c>
      <c r="G98" s="194">
        <v>53</v>
      </c>
      <c r="H98" s="194">
        <v>0.93200000000000005</v>
      </c>
      <c r="I98" s="194">
        <v>0.95599999999999996</v>
      </c>
      <c r="J98" s="194">
        <v>68</v>
      </c>
      <c r="K98" s="194">
        <v>0.91500000000000004</v>
      </c>
      <c r="L98" s="194">
        <v>0.92800000000000005</v>
      </c>
      <c r="M98" s="194">
        <v>69</v>
      </c>
      <c r="N98" s="194">
        <v>0.85299999999999998</v>
      </c>
      <c r="O98" s="194">
        <v>0.84299999999999997</v>
      </c>
      <c r="P98" s="194">
        <v>51</v>
      </c>
      <c r="Q98" s="194">
        <v>0.83699999999999997</v>
      </c>
      <c r="R98" s="194">
        <v>0.78100000000000003</v>
      </c>
      <c r="S98" s="194">
        <v>64</v>
      </c>
      <c r="T98" s="194">
        <v>0.86799999999999999</v>
      </c>
      <c r="U98" s="194">
        <v>0.89500000000000002</v>
      </c>
      <c r="V98" s="194">
        <v>57</v>
      </c>
      <c r="W98" s="194">
        <v>0.91400000000000003</v>
      </c>
      <c r="X98" s="194">
        <v>0.92600000000000005</v>
      </c>
      <c r="Y98" s="194">
        <v>68</v>
      </c>
      <c r="Z98" s="194">
        <v>0.93100000000000005</v>
      </c>
      <c r="AA98" s="194">
        <v>0.91800000000000004</v>
      </c>
      <c r="AB98" s="194">
        <v>61</v>
      </c>
      <c r="AC98" s="194">
        <v>0.91800000000000004</v>
      </c>
      <c r="AD98" s="194">
        <v>0.94599999999999995</v>
      </c>
      <c r="AE98" s="194">
        <v>74</v>
      </c>
      <c r="AF98" s="194">
        <v>0.90700000000000003</v>
      </c>
      <c r="AG98" s="194">
        <v>0.88900000000000001</v>
      </c>
      <c r="AH98" s="194">
        <v>72</v>
      </c>
      <c r="AI98" s="194">
        <v>0.88200000000000001</v>
      </c>
      <c r="AJ98" s="194">
        <v>0.872</v>
      </c>
      <c r="AK98" s="194">
        <v>47</v>
      </c>
      <c r="AL98" s="140"/>
      <c r="AM98" s="140"/>
      <c r="AN98" s="140"/>
      <c r="AO98" s="140"/>
      <c r="AP98" s="140"/>
      <c r="AQ98" s="140"/>
      <c r="AR98" s="140"/>
      <c r="AS98" s="140"/>
      <c r="AT98" s="140"/>
      <c r="AU98" s="140"/>
      <c r="AV98" s="140"/>
      <c r="AW98" s="140"/>
      <c r="AX98" s="140"/>
      <c r="AY98" s="140"/>
      <c r="AZ98" s="140"/>
      <c r="BA98" s="140"/>
      <c r="BB98" s="140"/>
      <c r="BC98" s="140"/>
      <c r="BD98" s="140"/>
      <c r="BE98" s="140"/>
      <c r="BF98" s="140"/>
      <c r="BG98" s="140"/>
      <c r="BH98" s="140"/>
      <c r="BI98" s="140"/>
    </row>
    <row r="99" spans="1:61" x14ac:dyDescent="0.3">
      <c r="A99" s="193" t="s">
        <v>350</v>
      </c>
      <c r="B99" s="194">
        <v>1</v>
      </c>
      <c r="C99" s="194">
        <v>1</v>
      </c>
      <c r="D99" s="194">
        <v>5</v>
      </c>
      <c r="E99" s="194">
        <v>1</v>
      </c>
      <c r="F99" s="194">
        <v>1</v>
      </c>
      <c r="G99" s="194">
        <v>14</v>
      </c>
      <c r="H99" s="194">
        <v>1</v>
      </c>
      <c r="I99" s="194">
        <v>1</v>
      </c>
      <c r="J99" s="194">
        <v>12</v>
      </c>
      <c r="K99" s="194">
        <v>1</v>
      </c>
      <c r="L99" s="194">
        <v>1</v>
      </c>
      <c r="M99" s="194">
        <v>5</v>
      </c>
      <c r="N99" s="194">
        <v>1</v>
      </c>
      <c r="O99" s="194">
        <v>1</v>
      </c>
      <c r="P99" s="194">
        <v>7</v>
      </c>
      <c r="Q99" s="194">
        <v>1</v>
      </c>
      <c r="R99" s="194">
        <v>1</v>
      </c>
      <c r="S99" s="194">
        <v>5</v>
      </c>
      <c r="T99" s="194">
        <v>1</v>
      </c>
      <c r="U99" s="194">
        <v>1</v>
      </c>
      <c r="V99" s="194">
        <v>5</v>
      </c>
      <c r="W99" s="194">
        <v>1</v>
      </c>
      <c r="X99" s="194">
        <v>1</v>
      </c>
      <c r="Y99" s="194">
        <v>7</v>
      </c>
      <c r="Z99" s="194">
        <v>0.96799999999999997</v>
      </c>
      <c r="AA99" s="194">
        <v>1</v>
      </c>
      <c r="AB99" s="194">
        <v>7</v>
      </c>
      <c r="AC99" s="194">
        <v>0.96799999999999997</v>
      </c>
      <c r="AD99" s="194">
        <v>0.94099999999999995</v>
      </c>
      <c r="AE99" s="194">
        <v>17</v>
      </c>
      <c r="AF99" s="194">
        <v>0.97099999999999997</v>
      </c>
      <c r="AG99" s="194">
        <v>1</v>
      </c>
      <c r="AH99" s="194">
        <v>7</v>
      </c>
      <c r="AI99" s="194">
        <v>1</v>
      </c>
      <c r="AJ99" s="194">
        <v>1</v>
      </c>
      <c r="AK99" s="194">
        <v>10</v>
      </c>
      <c r="AL99" s="140"/>
      <c r="AM99" s="140"/>
      <c r="AN99" s="140"/>
      <c r="AO99" s="140"/>
      <c r="AP99" s="140"/>
      <c r="AQ99" s="140"/>
      <c r="AR99" s="140"/>
      <c r="AS99" s="140"/>
      <c r="AT99" s="140"/>
      <c r="AU99" s="140"/>
      <c r="AV99" s="140"/>
      <c r="AW99" s="140"/>
      <c r="AX99" s="140"/>
      <c r="AY99" s="140"/>
      <c r="AZ99" s="140"/>
      <c r="BA99" s="140"/>
      <c r="BB99" s="140"/>
      <c r="BC99" s="140"/>
      <c r="BD99" s="140"/>
      <c r="BE99" s="140"/>
      <c r="BF99" s="140"/>
      <c r="BG99" s="140"/>
      <c r="BH99" s="140"/>
      <c r="BI99" s="140"/>
    </row>
    <row r="100" spans="1:61" x14ac:dyDescent="0.3">
      <c r="A100" s="193" t="s">
        <v>341</v>
      </c>
      <c r="B100" s="194">
        <v>0.93200000000000005</v>
      </c>
      <c r="C100" s="194">
        <v>0.97399999999999998</v>
      </c>
      <c r="D100" s="194">
        <v>38</v>
      </c>
      <c r="E100" s="194">
        <v>0.94099999999999995</v>
      </c>
      <c r="F100" s="194">
        <v>0.88900000000000001</v>
      </c>
      <c r="G100" s="194">
        <v>36</v>
      </c>
      <c r="H100" s="194">
        <v>0.93100000000000005</v>
      </c>
      <c r="I100" s="194">
        <v>0.96399999999999997</v>
      </c>
      <c r="J100" s="194">
        <v>28</v>
      </c>
      <c r="K100" s="194">
        <v>0.90500000000000003</v>
      </c>
      <c r="L100" s="194">
        <v>0.95699999999999996</v>
      </c>
      <c r="M100" s="194">
        <v>23</v>
      </c>
      <c r="N100" s="194">
        <v>0.90600000000000003</v>
      </c>
      <c r="O100" s="194">
        <v>0.81799999999999995</v>
      </c>
      <c r="P100" s="194">
        <v>33</v>
      </c>
      <c r="Q100" s="194">
        <v>0.86599999999999999</v>
      </c>
      <c r="R100" s="194">
        <v>0.96599999999999997</v>
      </c>
      <c r="S100" s="194">
        <v>29</v>
      </c>
      <c r="T100" s="194">
        <v>0.86199999999999999</v>
      </c>
      <c r="U100" s="194">
        <v>0.82899999999999996</v>
      </c>
      <c r="V100" s="194">
        <v>35</v>
      </c>
      <c r="W100" s="194">
        <v>0.82199999999999995</v>
      </c>
      <c r="X100" s="194">
        <v>0.8</v>
      </c>
      <c r="Y100" s="194">
        <v>30</v>
      </c>
      <c r="Z100" s="194">
        <v>0.82399999999999995</v>
      </c>
      <c r="AA100" s="194">
        <v>0.83299999999999996</v>
      </c>
      <c r="AB100" s="194">
        <v>36</v>
      </c>
      <c r="AC100" s="194">
        <v>0.84899999999999998</v>
      </c>
      <c r="AD100" s="194">
        <v>0.83299999999999996</v>
      </c>
      <c r="AE100" s="194">
        <v>36</v>
      </c>
      <c r="AF100" s="194">
        <v>0.86</v>
      </c>
      <c r="AG100" s="194">
        <v>0.872</v>
      </c>
      <c r="AH100" s="194">
        <v>47</v>
      </c>
      <c r="AI100" s="194">
        <v>0.871</v>
      </c>
      <c r="AJ100" s="194">
        <v>0.87</v>
      </c>
      <c r="AK100" s="194">
        <v>46</v>
      </c>
      <c r="AL100" s="140"/>
      <c r="AM100" s="140"/>
      <c r="AN100" s="140"/>
      <c r="AO100" s="140"/>
      <c r="AP100" s="140"/>
      <c r="AQ100" s="140"/>
      <c r="AR100" s="140"/>
      <c r="AS100" s="140"/>
      <c r="AT100" s="140"/>
      <c r="AU100" s="140"/>
      <c r="AV100" s="140"/>
      <c r="AW100" s="140"/>
      <c r="AX100" s="140"/>
      <c r="AY100" s="140"/>
      <c r="AZ100" s="140"/>
      <c r="BA100" s="140"/>
      <c r="BB100" s="140"/>
      <c r="BC100" s="140"/>
      <c r="BD100" s="140"/>
      <c r="BE100" s="140"/>
      <c r="BF100" s="140"/>
      <c r="BG100" s="140"/>
      <c r="BH100" s="140"/>
      <c r="BI100" s="140"/>
    </row>
    <row r="101" spans="1:61" x14ac:dyDescent="0.3">
      <c r="A101" s="193" t="s">
        <v>423</v>
      </c>
      <c r="B101" s="194">
        <v>1</v>
      </c>
      <c r="C101" s="194">
        <v>1</v>
      </c>
      <c r="D101" s="194">
        <v>15</v>
      </c>
      <c r="E101" s="194">
        <v>0.94599999999999995</v>
      </c>
      <c r="F101" s="194">
        <v>1</v>
      </c>
      <c r="G101" s="194">
        <v>10</v>
      </c>
      <c r="H101" s="194">
        <v>0.90900000000000003</v>
      </c>
      <c r="I101" s="194">
        <v>0.83299999999999996</v>
      </c>
      <c r="J101" s="194">
        <v>12</v>
      </c>
      <c r="K101" s="194">
        <v>0.88200000000000001</v>
      </c>
      <c r="L101" s="194">
        <v>0.90900000000000003</v>
      </c>
      <c r="M101" s="194">
        <v>11</v>
      </c>
      <c r="N101" s="194">
        <v>0.91200000000000003</v>
      </c>
      <c r="O101" s="194">
        <v>0.90900000000000003</v>
      </c>
      <c r="P101" s="194">
        <v>11</v>
      </c>
      <c r="Q101" s="194">
        <v>0.93300000000000005</v>
      </c>
      <c r="R101" s="194">
        <v>0.91700000000000004</v>
      </c>
      <c r="S101" s="194">
        <v>12</v>
      </c>
      <c r="T101" s="194">
        <v>0.95599999999999996</v>
      </c>
      <c r="U101" s="194">
        <v>0.95499999999999996</v>
      </c>
      <c r="V101" s="194">
        <v>22</v>
      </c>
      <c r="W101" s="194">
        <v>0.96099999999999997</v>
      </c>
      <c r="X101" s="194">
        <v>1</v>
      </c>
      <c r="Y101" s="194">
        <v>11</v>
      </c>
      <c r="Z101" s="194">
        <v>0.98199999999999998</v>
      </c>
      <c r="AA101" s="194">
        <v>0.94399999999999995</v>
      </c>
      <c r="AB101" s="194">
        <v>18</v>
      </c>
      <c r="AC101" s="194">
        <v>0.92300000000000004</v>
      </c>
      <c r="AD101" s="194">
        <v>1</v>
      </c>
      <c r="AE101" s="194">
        <v>26</v>
      </c>
      <c r="AF101" s="194">
        <v>0.92300000000000004</v>
      </c>
      <c r="AG101" s="194">
        <v>0.81</v>
      </c>
      <c r="AH101" s="194">
        <v>21</v>
      </c>
      <c r="AI101" s="194">
        <v>0.872</v>
      </c>
      <c r="AJ101" s="194">
        <v>0.94399999999999995</v>
      </c>
      <c r="AK101" s="194">
        <v>18</v>
      </c>
      <c r="AL101" s="140"/>
      <c r="AM101" s="140"/>
      <c r="AN101" s="140"/>
      <c r="AO101" s="140"/>
      <c r="AP101" s="140"/>
      <c r="AQ101" s="140"/>
      <c r="AR101" s="140"/>
      <c r="AS101" s="140"/>
      <c r="AT101" s="140"/>
      <c r="AU101" s="140"/>
      <c r="AV101" s="140"/>
      <c r="AW101" s="140"/>
      <c r="AX101" s="140"/>
      <c r="AY101" s="140"/>
      <c r="AZ101" s="140"/>
      <c r="BA101" s="140"/>
      <c r="BB101" s="140"/>
      <c r="BC101" s="140"/>
      <c r="BD101" s="140"/>
      <c r="BE101" s="140"/>
      <c r="BF101" s="140"/>
      <c r="BG101" s="140"/>
      <c r="BH101" s="140"/>
      <c r="BI101" s="140"/>
    </row>
    <row r="102" spans="1:61" x14ac:dyDescent="0.3">
      <c r="A102" s="193" t="s">
        <v>374</v>
      </c>
      <c r="B102" s="194">
        <v>0.91800000000000004</v>
      </c>
      <c r="C102" s="194">
        <v>0.92900000000000005</v>
      </c>
      <c r="D102" s="194">
        <v>28</v>
      </c>
      <c r="E102" s="194">
        <v>0.91300000000000003</v>
      </c>
      <c r="F102" s="194">
        <v>0.90500000000000003</v>
      </c>
      <c r="G102" s="194">
        <v>21</v>
      </c>
      <c r="H102" s="194">
        <v>0.88600000000000001</v>
      </c>
      <c r="I102" s="194">
        <v>0.9</v>
      </c>
      <c r="J102" s="194">
        <v>20</v>
      </c>
      <c r="K102" s="194">
        <v>0.88400000000000001</v>
      </c>
      <c r="L102" s="194">
        <v>0.86199999999999999</v>
      </c>
      <c r="M102" s="194">
        <v>29</v>
      </c>
      <c r="N102" s="194">
        <v>0.88500000000000001</v>
      </c>
      <c r="O102" s="194">
        <v>0.9</v>
      </c>
      <c r="P102" s="194">
        <v>20</v>
      </c>
      <c r="Q102" s="194">
        <v>0.83099999999999996</v>
      </c>
      <c r="R102" s="194">
        <v>0.89700000000000002</v>
      </c>
      <c r="S102" s="194">
        <v>29</v>
      </c>
      <c r="T102" s="194">
        <v>0.78</v>
      </c>
      <c r="U102" s="194">
        <v>0.71399999999999997</v>
      </c>
      <c r="V102" s="194">
        <v>28</v>
      </c>
      <c r="W102" s="194">
        <v>0.753</v>
      </c>
      <c r="X102" s="194">
        <v>0.72</v>
      </c>
      <c r="Y102" s="194">
        <v>25</v>
      </c>
      <c r="Z102" s="194">
        <v>0.77800000000000002</v>
      </c>
      <c r="AA102" s="194">
        <v>0.83299999999999996</v>
      </c>
      <c r="AB102" s="194">
        <v>24</v>
      </c>
      <c r="AC102" s="194">
        <v>0.83099999999999996</v>
      </c>
      <c r="AD102" s="194">
        <v>0.78300000000000003</v>
      </c>
      <c r="AE102" s="194">
        <v>23</v>
      </c>
      <c r="AF102" s="194">
        <v>0.84699999999999998</v>
      </c>
      <c r="AG102" s="194">
        <v>0.86099999999999999</v>
      </c>
      <c r="AH102" s="194">
        <v>36</v>
      </c>
      <c r="AI102" s="194">
        <v>0.86699999999999999</v>
      </c>
      <c r="AJ102" s="194">
        <v>0.872</v>
      </c>
      <c r="AK102" s="194">
        <v>39</v>
      </c>
      <c r="AL102" s="140"/>
      <c r="AM102" s="140"/>
      <c r="AN102" s="140"/>
      <c r="AO102" s="140"/>
      <c r="AP102" s="140"/>
      <c r="AQ102" s="140"/>
      <c r="AR102" s="140"/>
      <c r="AS102" s="140"/>
      <c r="AT102" s="140"/>
      <c r="AU102" s="140"/>
      <c r="AV102" s="140"/>
      <c r="AW102" s="140"/>
      <c r="AX102" s="140"/>
      <c r="AY102" s="140"/>
      <c r="AZ102" s="140"/>
      <c r="BA102" s="140"/>
      <c r="BB102" s="140"/>
      <c r="BC102" s="140"/>
      <c r="BD102" s="140"/>
      <c r="BE102" s="140"/>
      <c r="BF102" s="140"/>
      <c r="BG102" s="140"/>
      <c r="BH102" s="140"/>
      <c r="BI102" s="140"/>
    </row>
    <row r="103" spans="1:61" x14ac:dyDescent="0.3">
      <c r="A103" s="193" t="s">
        <v>512</v>
      </c>
      <c r="B103" s="194">
        <v>0.95099999999999996</v>
      </c>
      <c r="C103" s="194">
        <v>0.96199999999999997</v>
      </c>
      <c r="D103" s="194">
        <v>26</v>
      </c>
      <c r="E103" s="194">
        <v>0.96499999999999997</v>
      </c>
      <c r="F103" s="194">
        <v>0.93300000000000005</v>
      </c>
      <c r="G103" s="194">
        <v>15</v>
      </c>
      <c r="H103" s="194">
        <v>0.96699999999999997</v>
      </c>
      <c r="I103" s="194">
        <v>1</v>
      </c>
      <c r="J103" s="194">
        <v>16</v>
      </c>
      <c r="K103" s="194">
        <v>0.95599999999999996</v>
      </c>
      <c r="L103" s="194">
        <v>0.96599999999999997</v>
      </c>
      <c r="M103" s="194">
        <v>29</v>
      </c>
      <c r="N103" s="194">
        <v>0.91</v>
      </c>
      <c r="O103" s="194">
        <v>0.91300000000000003</v>
      </c>
      <c r="P103" s="194">
        <v>23</v>
      </c>
      <c r="Q103" s="194">
        <v>0.871</v>
      </c>
      <c r="R103" s="194">
        <v>0.86499999999999999</v>
      </c>
      <c r="S103" s="194">
        <v>37</v>
      </c>
      <c r="T103" s="194">
        <v>0.88400000000000001</v>
      </c>
      <c r="U103" s="194">
        <v>0.84</v>
      </c>
      <c r="V103" s="194">
        <v>25</v>
      </c>
      <c r="W103" s="194">
        <v>0.89300000000000002</v>
      </c>
      <c r="X103" s="194">
        <v>0.93899999999999995</v>
      </c>
      <c r="Y103" s="194">
        <v>33</v>
      </c>
      <c r="Z103" s="194">
        <v>0.93</v>
      </c>
      <c r="AA103" s="194">
        <v>0.88500000000000001</v>
      </c>
      <c r="AB103" s="194">
        <v>26</v>
      </c>
      <c r="AC103" s="194">
        <v>0.91700000000000004</v>
      </c>
      <c r="AD103" s="194">
        <v>0.96299999999999997</v>
      </c>
      <c r="AE103" s="194">
        <v>27</v>
      </c>
      <c r="AF103" s="194">
        <v>0.92300000000000004</v>
      </c>
      <c r="AG103" s="194">
        <v>0.89500000000000002</v>
      </c>
      <c r="AH103" s="194">
        <v>19</v>
      </c>
      <c r="AI103" s="194">
        <v>0.90200000000000002</v>
      </c>
      <c r="AJ103" s="194">
        <v>0.90600000000000003</v>
      </c>
      <c r="AK103" s="194">
        <v>32</v>
      </c>
      <c r="AL103" s="140"/>
      <c r="AM103" s="140"/>
      <c r="AN103" s="140"/>
      <c r="AO103" s="140"/>
      <c r="AP103" s="140"/>
      <c r="AQ103" s="140"/>
      <c r="AR103" s="140"/>
      <c r="AS103" s="140"/>
      <c r="AT103" s="140"/>
      <c r="AU103" s="140"/>
      <c r="AV103" s="140"/>
      <c r="AW103" s="140"/>
      <c r="AX103" s="140"/>
      <c r="AY103" s="140"/>
      <c r="AZ103" s="140"/>
      <c r="BA103" s="140"/>
      <c r="BB103" s="140"/>
      <c r="BC103" s="140"/>
      <c r="BD103" s="140"/>
      <c r="BE103" s="140"/>
      <c r="BF103" s="140"/>
      <c r="BG103" s="140"/>
      <c r="BH103" s="140"/>
      <c r="BI103" s="140"/>
    </row>
    <row r="104" spans="1:61" x14ac:dyDescent="0.3">
      <c r="A104" s="193" t="s">
        <v>528</v>
      </c>
      <c r="B104" s="194">
        <v>1</v>
      </c>
      <c r="C104" s="194">
        <v>1</v>
      </c>
      <c r="D104" s="194">
        <v>32</v>
      </c>
      <c r="E104" s="194">
        <v>1</v>
      </c>
      <c r="F104" s="194">
        <v>1</v>
      </c>
      <c r="G104" s="194">
        <v>18</v>
      </c>
      <c r="H104" s="194">
        <v>1</v>
      </c>
      <c r="I104" s="194">
        <v>1</v>
      </c>
      <c r="J104" s="194">
        <v>24</v>
      </c>
      <c r="K104" s="194">
        <v>0.97399999999999998</v>
      </c>
      <c r="L104" s="194">
        <v>1</v>
      </c>
      <c r="M104" s="194">
        <v>26</v>
      </c>
      <c r="N104" s="194">
        <v>0.97399999999999998</v>
      </c>
      <c r="O104" s="194">
        <v>0.92300000000000004</v>
      </c>
      <c r="P104" s="194">
        <v>26</v>
      </c>
      <c r="Q104" s="194">
        <v>0.97499999999999998</v>
      </c>
      <c r="R104" s="194">
        <v>1</v>
      </c>
      <c r="S104" s="194">
        <v>26</v>
      </c>
      <c r="T104" s="194">
        <v>1</v>
      </c>
      <c r="U104" s="194">
        <v>1</v>
      </c>
      <c r="V104" s="194">
        <v>28</v>
      </c>
      <c r="W104" s="194">
        <v>0.98899999999999999</v>
      </c>
      <c r="X104" s="194">
        <v>1</v>
      </c>
      <c r="Y104" s="194">
        <v>37</v>
      </c>
      <c r="Z104" s="194">
        <v>0.99</v>
      </c>
      <c r="AA104" s="194">
        <v>0.96699999999999997</v>
      </c>
      <c r="AB104" s="194">
        <v>30</v>
      </c>
      <c r="AC104" s="194">
        <v>0.99099999999999999</v>
      </c>
      <c r="AD104" s="194">
        <v>1</v>
      </c>
      <c r="AE104" s="194">
        <v>38</v>
      </c>
      <c r="AF104" s="194">
        <v>0.97699999999999998</v>
      </c>
      <c r="AG104" s="194">
        <v>1</v>
      </c>
      <c r="AH104" s="194">
        <v>42</v>
      </c>
      <c r="AI104" s="194">
        <v>0.96699999999999997</v>
      </c>
      <c r="AJ104" s="194">
        <v>0.94</v>
      </c>
      <c r="AK104" s="194">
        <v>50</v>
      </c>
      <c r="AL104" s="140"/>
      <c r="AM104" s="140"/>
      <c r="AN104" s="140"/>
      <c r="AO104" s="140"/>
      <c r="AP104" s="140"/>
      <c r="AQ104" s="140"/>
      <c r="AR104" s="140"/>
      <c r="AS104" s="140"/>
      <c r="AT104" s="140"/>
      <c r="AU104" s="140"/>
      <c r="AV104" s="140"/>
      <c r="AW104" s="140"/>
      <c r="AX104" s="140"/>
      <c r="AY104" s="140"/>
      <c r="AZ104" s="140"/>
      <c r="BA104" s="140"/>
      <c r="BB104" s="140"/>
      <c r="BC104" s="140"/>
      <c r="BD104" s="140"/>
      <c r="BE104" s="140"/>
      <c r="BF104" s="140"/>
      <c r="BG104" s="140"/>
      <c r="BH104" s="140"/>
      <c r="BI104" s="140"/>
    </row>
    <row r="105" spans="1:61" x14ac:dyDescent="0.3">
      <c r="A105" s="193" t="s">
        <v>400</v>
      </c>
      <c r="B105" s="194">
        <v>0.85699999999999998</v>
      </c>
      <c r="C105" s="194">
        <v>0.875</v>
      </c>
      <c r="D105" s="194">
        <v>16</v>
      </c>
      <c r="E105" s="194">
        <v>0.90700000000000003</v>
      </c>
      <c r="F105" s="194">
        <v>0.83299999999999996</v>
      </c>
      <c r="G105" s="194">
        <v>12</v>
      </c>
      <c r="H105" s="194">
        <v>0.91900000000000004</v>
      </c>
      <c r="I105" s="194">
        <v>1</v>
      </c>
      <c r="J105" s="194">
        <v>15</v>
      </c>
      <c r="K105" s="194">
        <v>0.97899999999999998</v>
      </c>
      <c r="L105" s="194">
        <v>0.9</v>
      </c>
      <c r="M105" s="194">
        <v>10</v>
      </c>
      <c r="N105" s="194">
        <v>0.95699999999999996</v>
      </c>
      <c r="O105" s="194">
        <v>1</v>
      </c>
      <c r="P105" s="194">
        <v>22</v>
      </c>
      <c r="Q105" s="194">
        <v>0.97699999999999998</v>
      </c>
      <c r="R105" s="194">
        <v>0.93300000000000005</v>
      </c>
      <c r="S105" s="194">
        <v>15</v>
      </c>
      <c r="T105" s="194">
        <v>0.88100000000000001</v>
      </c>
      <c r="U105" s="194">
        <v>1</v>
      </c>
      <c r="V105" s="194">
        <v>7</v>
      </c>
      <c r="W105" s="194">
        <v>0.88400000000000001</v>
      </c>
      <c r="X105" s="194">
        <v>0.8</v>
      </c>
      <c r="Y105" s="194">
        <v>20</v>
      </c>
      <c r="Z105" s="194">
        <v>0.91100000000000003</v>
      </c>
      <c r="AA105" s="194">
        <v>0.93799999999999994</v>
      </c>
      <c r="AB105" s="194">
        <v>16</v>
      </c>
      <c r="AC105" s="194">
        <v>0.94599999999999995</v>
      </c>
      <c r="AD105" s="194">
        <v>1</v>
      </c>
      <c r="AE105" s="194">
        <v>20</v>
      </c>
      <c r="AF105" s="194">
        <v>0.91400000000000003</v>
      </c>
      <c r="AG105" s="194">
        <v>0.9</v>
      </c>
      <c r="AH105" s="194">
        <v>20</v>
      </c>
      <c r="AI105" s="194">
        <v>0.86799999999999999</v>
      </c>
      <c r="AJ105" s="194">
        <v>0.83299999999999996</v>
      </c>
      <c r="AK105" s="194">
        <v>18</v>
      </c>
      <c r="AL105" s="140"/>
      <c r="AM105" s="140"/>
      <c r="AN105" s="140"/>
      <c r="AO105" s="140"/>
      <c r="AP105" s="140"/>
      <c r="AQ105" s="140"/>
      <c r="AR105" s="140"/>
      <c r="AS105" s="140"/>
      <c r="AT105" s="140"/>
      <c r="AU105" s="140"/>
      <c r="AV105" s="140"/>
      <c r="AW105" s="140"/>
      <c r="AX105" s="140"/>
      <c r="AY105" s="140"/>
      <c r="AZ105" s="140"/>
      <c r="BA105" s="140"/>
      <c r="BB105" s="140"/>
      <c r="BC105" s="140"/>
      <c r="BD105" s="140"/>
      <c r="BE105" s="140"/>
      <c r="BF105" s="140"/>
      <c r="BG105" s="140"/>
      <c r="BH105" s="140"/>
      <c r="BI105" s="140"/>
    </row>
    <row r="106" spans="1:61" x14ac:dyDescent="0.3">
      <c r="A106" s="193" t="s">
        <v>540</v>
      </c>
      <c r="B106" s="194">
        <v>1</v>
      </c>
      <c r="C106" s="194">
        <v>1</v>
      </c>
      <c r="D106" s="194">
        <v>20</v>
      </c>
      <c r="E106" s="194">
        <v>1</v>
      </c>
      <c r="F106" s="194">
        <v>1</v>
      </c>
      <c r="G106" s="194">
        <v>15</v>
      </c>
      <c r="H106" s="194">
        <v>1</v>
      </c>
      <c r="I106" s="194">
        <v>1</v>
      </c>
      <c r="J106" s="194">
        <v>10</v>
      </c>
      <c r="K106" s="194">
        <v>1</v>
      </c>
      <c r="L106" s="194">
        <v>1</v>
      </c>
      <c r="M106" s="194">
        <v>12</v>
      </c>
      <c r="N106" s="194">
        <v>1</v>
      </c>
      <c r="O106" s="194">
        <v>1</v>
      </c>
      <c r="P106" s="194">
        <v>12</v>
      </c>
      <c r="Q106" s="194">
        <v>1</v>
      </c>
      <c r="R106" s="194">
        <v>1</v>
      </c>
      <c r="S106" s="194">
        <v>11</v>
      </c>
      <c r="T106" s="194">
        <v>1</v>
      </c>
      <c r="U106" s="194">
        <v>1</v>
      </c>
      <c r="V106" s="194">
        <v>9</v>
      </c>
      <c r="W106" s="194">
        <v>1</v>
      </c>
      <c r="X106" s="194">
        <v>1</v>
      </c>
      <c r="Y106" s="194">
        <v>11</v>
      </c>
      <c r="Z106" s="194">
        <v>1</v>
      </c>
      <c r="AA106" s="194">
        <v>1</v>
      </c>
      <c r="AB106" s="194">
        <v>15</v>
      </c>
      <c r="AC106" s="194">
        <v>1</v>
      </c>
      <c r="AD106" s="194">
        <v>1</v>
      </c>
      <c r="AE106" s="194">
        <v>22</v>
      </c>
      <c r="AF106" s="194">
        <v>1</v>
      </c>
      <c r="AG106" s="194">
        <v>1</v>
      </c>
      <c r="AH106" s="194">
        <v>12</v>
      </c>
      <c r="AI106" s="194">
        <v>1</v>
      </c>
      <c r="AJ106" s="194">
        <v>1</v>
      </c>
      <c r="AK106" s="194">
        <v>16</v>
      </c>
      <c r="AL106" s="140"/>
      <c r="AM106" s="140"/>
      <c r="AN106" s="140"/>
      <c r="AO106" s="140"/>
      <c r="AP106" s="140"/>
      <c r="AQ106" s="140"/>
      <c r="AR106" s="140"/>
      <c r="AS106" s="140"/>
      <c r="AT106" s="140"/>
      <c r="AU106" s="140"/>
      <c r="AV106" s="140"/>
      <c r="AW106" s="140"/>
      <c r="AX106" s="140"/>
      <c r="AY106" s="140"/>
      <c r="AZ106" s="140"/>
      <c r="BA106" s="140"/>
      <c r="BB106" s="140"/>
      <c r="BC106" s="140"/>
      <c r="BD106" s="140"/>
      <c r="BE106" s="140"/>
      <c r="BF106" s="140"/>
      <c r="BG106" s="140"/>
      <c r="BH106" s="140"/>
      <c r="BI106" s="140"/>
    </row>
    <row r="107" spans="1:61" x14ac:dyDescent="0.3">
      <c r="A107" s="193" t="s">
        <v>337</v>
      </c>
      <c r="B107" s="194">
        <v>0.94699999999999995</v>
      </c>
      <c r="C107" s="194">
        <v>0.85699999999999998</v>
      </c>
      <c r="D107" s="194">
        <v>7</v>
      </c>
      <c r="E107" s="194">
        <v>0.96299999999999997</v>
      </c>
      <c r="F107" s="194">
        <v>1</v>
      </c>
      <c r="G107" s="194">
        <v>12</v>
      </c>
      <c r="H107" s="194">
        <v>1</v>
      </c>
      <c r="I107" s="194">
        <v>1</v>
      </c>
      <c r="J107" s="194">
        <v>8</v>
      </c>
      <c r="K107" s="194">
        <v>1</v>
      </c>
      <c r="L107" s="194">
        <v>1</v>
      </c>
      <c r="M107" s="194">
        <v>6</v>
      </c>
      <c r="N107" s="194">
        <v>1</v>
      </c>
      <c r="O107" s="194">
        <v>1</v>
      </c>
      <c r="P107" s="194">
        <v>10</v>
      </c>
      <c r="Q107" s="194">
        <v>0.97699999999999998</v>
      </c>
      <c r="R107" s="194">
        <v>1</v>
      </c>
      <c r="S107" s="194">
        <v>16</v>
      </c>
      <c r="T107" s="194">
        <v>0.97899999999999998</v>
      </c>
      <c r="U107" s="194">
        <v>0.94399999999999995</v>
      </c>
      <c r="V107" s="194">
        <v>18</v>
      </c>
      <c r="W107" s="194">
        <v>0.98</v>
      </c>
      <c r="X107" s="194">
        <v>1</v>
      </c>
      <c r="Y107" s="194">
        <v>14</v>
      </c>
      <c r="Z107" s="194">
        <v>0.97799999999999998</v>
      </c>
      <c r="AA107" s="194">
        <v>1</v>
      </c>
      <c r="AB107" s="194">
        <v>17</v>
      </c>
      <c r="AC107" s="194">
        <v>0.96699999999999997</v>
      </c>
      <c r="AD107" s="194">
        <v>0.93300000000000005</v>
      </c>
      <c r="AE107" s="194">
        <v>15</v>
      </c>
      <c r="AF107" s="194">
        <v>0.93799999999999994</v>
      </c>
      <c r="AG107" s="194">
        <v>0.96599999999999997</v>
      </c>
      <c r="AH107" s="194">
        <v>29</v>
      </c>
      <c r="AI107" s="194">
        <v>0.94</v>
      </c>
      <c r="AJ107" s="194">
        <v>0.90500000000000003</v>
      </c>
      <c r="AK107" s="194">
        <v>21</v>
      </c>
      <c r="AL107" s="140"/>
      <c r="AM107" s="140"/>
      <c r="AN107" s="140"/>
      <c r="AO107" s="140"/>
      <c r="AP107" s="140"/>
      <c r="AQ107" s="140"/>
      <c r="AR107" s="140"/>
      <c r="AS107" s="140"/>
      <c r="AT107" s="140"/>
      <c r="AU107" s="140"/>
      <c r="AV107" s="140"/>
      <c r="AW107" s="140"/>
      <c r="AX107" s="140"/>
      <c r="AY107" s="140"/>
      <c r="AZ107" s="140"/>
      <c r="BA107" s="140"/>
      <c r="BB107" s="140"/>
      <c r="BC107" s="140"/>
      <c r="BD107" s="140"/>
      <c r="BE107" s="140"/>
      <c r="BF107" s="140"/>
      <c r="BG107" s="140"/>
      <c r="BH107" s="140"/>
      <c r="BI107" s="140"/>
    </row>
    <row r="108" spans="1:61" x14ac:dyDescent="0.3">
      <c r="A108" s="193" t="s">
        <v>482</v>
      </c>
      <c r="B108" s="194">
        <v>0.98199999999999998</v>
      </c>
      <c r="C108" s="194">
        <v>0.97</v>
      </c>
      <c r="D108" s="194">
        <v>33</v>
      </c>
      <c r="E108" s="194">
        <v>0.98899999999999999</v>
      </c>
      <c r="F108" s="194">
        <v>1</v>
      </c>
      <c r="G108" s="194">
        <v>24</v>
      </c>
      <c r="H108" s="194">
        <v>0.98699999999999999</v>
      </c>
      <c r="I108" s="194">
        <v>1</v>
      </c>
      <c r="J108" s="194">
        <v>31</v>
      </c>
      <c r="K108" s="194">
        <v>0.98799999999999999</v>
      </c>
      <c r="L108" s="194">
        <v>0.95699999999999996</v>
      </c>
      <c r="M108" s="194">
        <v>23</v>
      </c>
      <c r="N108" s="194">
        <v>0.98699999999999999</v>
      </c>
      <c r="O108" s="194">
        <v>1</v>
      </c>
      <c r="P108" s="194">
        <v>27</v>
      </c>
      <c r="Q108" s="194">
        <v>1</v>
      </c>
      <c r="R108" s="194">
        <v>1</v>
      </c>
      <c r="S108" s="194">
        <v>28</v>
      </c>
      <c r="T108" s="194">
        <v>0.98899999999999999</v>
      </c>
      <c r="U108" s="194">
        <v>1</v>
      </c>
      <c r="V108" s="194">
        <v>34</v>
      </c>
      <c r="W108" s="194">
        <v>0.97599999999999998</v>
      </c>
      <c r="X108" s="194">
        <v>0.96699999999999997</v>
      </c>
      <c r="Y108" s="194">
        <v>30</v>
      </c>
      <c r="Z108" s="194">
        <v>0.97199999999999998</v>
      </c>
      <c r="AA108" s="194">
        <v>0.95199999999999996</v>
      </c>
      <c r="AB108" s="194">
        <v>21</v>
      </c>
      <c r="AC108" s="194">
        <v>0.98299999999999998</v>
      </c>
      <c r="AD108" s="194">
        <v>1</v>
      </c>
      <c r="AE108" s="194">
        <v>21</v>
      </c>
      <c r="AF108" s="194">
        <v>0.97199999999999998</v>
      </c>
      <c r="AG108" s="194">
        <v>1</v>
      </c>
      <c r="AH108" s="194">
        <v>17</v>
      </c>
      <c r="AI108" s="194">
        <v>0.96099999999999997</v>
      </c>
      <c r="AJ108" s="194">
        <v>0.94099999999999995</v>
      </c>
      <c r="AK108" s="194">
        <v>34</v>
      </c>
      <c r="AL108" s="140"/>
      <c r="AM108" s="140"/>
      <c r="AN108" s="140"/>
      <c r="AO108" s="140"/>
      <c r="AP108" s="140"/>
      <c r="AQ108" s="140"/>
      <c r="AR108" s="140"/>
      <c r="AS108" s="140"/>
      <c r="AT108" s="140"/>
      <c r="AU108" s="140"/>
      <c r="AV108" s="140"/>
      <c r="AW108" s="140"/>
      <c r="AX108" s="140"/>
      <c r="AY108" s="140"/>
      <c r="AZ108" s="140"/>
      <c r="BA108" s="140"/>
      <c r="BB108" s="140"/>
      <c r="BC108" s="140"/>
      <c r="BD108" s="140"/>
      <c r="BE108" s="140"/>
      <c r="BF108" s="140"/>
      <c r="BG108" s="140"/>
      <c r="BH108" s="140"/>
      <c r="BI108" s="140"/>
    </row>
    <row r="109" spans="1:61" x14ac:dyDescent="0.3">
      <c r="A109" s="193" t="s">
        <v>546</v>
      </c>
      <c r="B109" s="194">
        <v>1</v>
      </c>
      <c r="C109" s="194">
        <v>1</v>
      </c>
      <c r="D109" s="194">
        <v>16</v>
      </c>
      <c r="E109" s="194">
        <v>1</v>
      </c>
      <c r="F109" s="194">
        <v>1</v>
      </c>
      <c r="G109" s="194">
        <v>27</v>
      </c>
      <c r="H109" s="194">
        <v>1</v>
      </c>
      <c r="I109" s="194">
        <v>1</v>
      </c>
      <c r="J109" s="194">
        <v>29</v>
      </c>
      <c r="K109" s="194">
        <v>0.97599999999999998</v>
      </c>
      <c r="L109" s="194">
        <v>1</v>
      </c>
      <c r="M109" s="194">
        <v>26</v>
      </c>
      <c r="N109" s="194">
        <v>0.94699999999999995</v>
      </c>
      <c r="O109" s="194">
        <v>0.92600000000000005</v>
      </c>
      <c r="P109" s="194">
        <v>27</v>
      </c>
      <c r="Q109" s="194">
        <v>0.92900000000000005</v>
      </c>
      <c r="R109" s="194">
        <v>0.90900000000000003</v>
      </c>
      <c r="S109" s="194">
        <v>22</v>
      </c>
      <c r="T109" s="194">
        <v>0.91500000000000004</v>
      </c>
      <c r="U109" s="194">
        <v>1</v>
      </c>
      <c r="V109" s="194">
        <v>7</v>
      </c>
      <c r="W109" s="194">
        <v>0.86499999999999999</v>
      </c>
      <c r="X109" s="194">
        <v>0.88900000000000001</v>
      </c>
      <c r="Y109" s="194">
        <v>18</v>
      </c>
      <c r="Z109" s="194">
        <v>0.84199999999999997</v>
      </c>
      <c r="AA109" s="194">
        <v>0.81499999999999995</v>
      </c>
      <c r="AB109" s="194">
        <v>27</v>
      </c>
      <c r="AC109" s="194">
        <v>0.86499999999999999</v>
      </c>
      <c r="AD109" s="194">
        <v>0.83299999999999996</v>
      </c>
      <c r="AE109" s="194">
        <v>12</v>
      </c>
      <c r="AF109" s="194">
        <v>0.91500000000000004</v>
      </c>
      <c r="AG109" s="194">
        <v>1</v>
      </c>
      <c r="AH109" s="194">
        <v>13</v>
      </c>
      <c r="AI109" s="194">
        <v>0.94299999999999995</v>
      </c>
      <c r="AJ109" s="194">
        <v>0.90900000000000003</v>
      </c>
      <c r="AK109" s="194">
        <v>22</v>
      </c>
      <c r="AL109" s="140"/>
      <c r="AM109" s="140"/>
      <c r="AN109" s="140"/>
      <c r="AO109" s="140"/>
      <c r="AP109" s="140"/>
      <c r="AQ109" s="140"/>
      <c r="AR109" s="140"/>
      <c r="AS109" s="140"/>
      <c r="AT109" s="140"/>
      <c r="AU109" s="140"/>
      <c r="AV109" s="140"/>
      <c r="AW109" s="140"/>
      <c r="AX109" s="140"/>
      <c r="AY109" s="140"/>
      <c r="AZ109" s="140"/>
      <c r="BA109" s="140"/>
      <c r="BB109" s="140"/>
      <c r="BC109" s="140"/>
      <c r="BD109" s="140"/>
      <c r="BE109" s="140"/>
      <c r="BF109" s="140"/>
      <c r="BG109" s="140"/>
      <c r="BH109" s="140"/>
      <c r="BI109" s="140"/>
    </row>
    <row r="110" spans="1:61" x14ac:dyDescent="0.3">
      <c r="A110" s="193" t="s">
        <v>538</v>
      </c>
      <c r="B110" s="194">
        <v>1</v>
      </c>
      <c r="C110" s="194">
        <v>1</v>
      </c>
      <c r="D110" s="194">
        <v>12</v>
      </c>
      <c r="E110" s="194">
        <v>1</v>
      </c>
      <c r="F110" s="194">
        <v>1</v>
      </c>
      <c r="G110" s="194">
        <v>16</v>
      </c>
      <c r="H110" s="194">
        <v>1</v>
      </c>
      <c r="I110" s="194">
        <v>1</v>
      </c>
      <c r="J110" s="194">
        <v>9</v>
      </c>
      <c r="K110" s="194">
        <v>1</v>
      </c>
      <c r="L110" s="194">
        <v>1</v>
      </c>
      <c r="M110" s="194">
        <v>9</v>
      </c>
      <c r="N110" s="194">
        <v>1</v>
      </c>
      <c r="O110" s="194">
        <v>1</v>
      </c>
      <c r="P110" s="194">
        <v>4</v>
      </c>
      <c r="Q110" s="194">
        <v>0.85699999999999998</v>
      </c>
      <c r="R110" s="194">
        <v>1</v>
      </c>
      <c r="S110" s="194">
        <v>1</v>
      </c>
      <c r="T110" s="194">
        <v>0.83299999999999996</v>
      </c>
      <c r="U110" s="194">
        <v>0.5</v>
      </c>
      <c r="V110" s="194">
        <v>2</v>
      </c>
      <c r="W110" s="194">
        <v>0.8</v>
      </c>
      <c r="X110" s="194">
        <v>1</v>
      </c>
      <c r="Y110" s="194">
        <v>3</v>
      </c>
      <c r="Z110" s="194">
        <v>1</v>
      </c>
      <c r="AA110" s="194"/>
      <c r="AB110" s="194"/>
      <c r="AC110" s="194">
        <v>1</v>
      </c>
      <c r="AD110" s="194">
        <v>1</v>
      </c>
      <c r="AE110" s="194">
        <v>2</v>
      </c>
      <c r="AF110" s="194">
        <v>1</v>
      </c>
      <c r="AG110" s="194">
        <v>1</v>
      </c>
      <c r="AH110" s="194">
        <v>14</v>
      </c>
      <c r="AI110" s="194">
        <v>1</v>
      </c>
      <c r="AJ110" s="194">
        <v>1</v>
      </c>
      <c r="AK110" s="194">
        <v>9</v>
      </c>
      <c r="AL110" s="140"/>
      <c r="AM110" s="140"/>
      <c r="AN110" s="140"/>
      <c r="AO110" s="140"/>
      <c r="AP110" s="140"/>
      <c r="AQ110" s="140"/>
      <c r="AR110" s="140"/>
      <c r="AS110" s="140"/>
      <c r="AT110" s="140"/>
      <c r="AU110" s="140"/>
      <c r="AV110" s="140"/>
      <c r="AW110" s="140"/>
      <c r="AX110" s="140"/>
      <c r="AY110" s="140"/>
      <c r="AZ110" s="140"/>
      <c r="BA110" s="140"/>
      <c r="BB110" s="140"/>
      <c r="BC110" s="140"/>
      <c r="BD110" s="140"/>
      <c r="BE110" s="140"/>
      <c r="BF110" s="140"/>
      <c r="BG110" s="140"/>
      <c r="BH110" s="140"/>
      <c r="BI110" s="140"/>
    </row>
    <row r="111" spans="1:61" x14ac:dyDescent="0.3">
      <c r="A111" s="193" t="s">
        <v>303</v>
      </c>
      <c r="B111" s="194">
        <v>1</v>
      </c>
      <c r="C111" s="194">
        <v>1</v>
      </c>
      <c r="D111" s="194">
        <v>17</v>
      </c>
      <c r="E111" s="194">
        <v>1</v>
      </c>
      <c r="F111" s="194">
        <v>1</v>
      </c>
      <c r="G111" s="194">
        <v>20</v>
      </c>
      <c r="H111" s="194">
        <v>1</v>
      </c>
      <c r="I111" s="194">
        <v>1</v>
      </c>
      <c r="J111" s="194">
        <v>17</v>
      </c>
      <c r="K111" s="194">
        <v>1</v>
      </c>
      <c r="L111" s="194">
        <v>1</v>
      </c>
      <c r="M111" s="194">
        <v>24</v>
      </c>
      <c r="N111" s="194">
        <v>1</v>
      </c>
      <c r="O111" s="194">
        <v>1</v>
      </c>
      <c r="P111" s="194">
        <v>20</v>
      </c>
      <c r="Q111" s="194">
        <v>1</v>
      </c>
      <c r="R111" s="194">
        <v>1</v>
      </c>
      <c r="S111" s="194">
        <v>13</v>
      </c>
      <c r="T111" s="194">
        <v>1</v>
      </c>
      <c r="U111" s="194">
        <v>1</v>
      </c>
      <c r="V111" s="194">
        <v>7</v>
      </c>
      <c r="W111" s="194">
        <v>1</v>
      </c>
      <c r="X111" s="194">
        <v>1</v>
      </c>
      <c r="Y111" s="194">
        <v>21</v>
      </c>
      <c r="Z111" s="194">
        <v>1</v>
      </c>
      <c r="AA111" s="194">
        <v>1</v>
      </c>
      <c r="AB111" s="194">
        <v>11</v>
      </c>
      <c r="AC111" s="194">
        <v>1</v>
      </c>
      <c r="AD111" s="194">
        <v>1</v>
      </c>
      <c r="AE111" s="194">
        <v>18</v>
      </c>
      <c r="AF111" s="194">
        <v>1</v>
      </c>
      <c r="AG111" s="194">
        <v>1</v>
      </c>
      <c r="AH111" s="194">
        <v>35</v>
      </c>
      <c r="AI111" s="194">
        <v>1</v>
      </c>
      <c r="AJ111" s="194">
        <v>1</v>
      </c>
      <c r="AK111" s="194">
        <v>14</v>
      </c>
      <c r="AL111" s="140"/>
      <c r="AM111" s="140"/>
      <c r="AN111" s="140"/>
      <c r="AO111" s="140"/>
      <c r="AP111" s="140"/>
      <c r="AQ111" s="140"/>
      <c r="AR111" s="140"/>
      <c r="AS111" s="140"/>
      <c r="AT111" s="140"/>
      <c r="AU111" s="140"/>
      <c r="AV111" s="140"/>
      <c r="AW111" s="140"/>
      <c r="AX111" s="140"/>
      <c r="AY111" s="140"/>
      <c r="AZ111" s="140"/>
      <c r="BA111" s="140"/>
      <c r="BB111" s="140"/>
      <c r="BC111" s="140"/>
      <c r="BD111" s="140"/>
      <c r="BE111" s="140"/>
      <c r="BF111" s="140"/>
      <c r="BG111" s="140"/>
      <c r="BH111" s="140"/>
      <c r="BI111" s="140"/>
    </row>
    <row r="112" spans="1:61" x14ac:dyDescent="0.3">
      <c r="A112" s="193" t="s">
        <v>433</v>
      </c>
      <c r="B112" s="194">
        <v>0.878</v>
      </c>
      <c r="C112" s="194">
        <v>0.85699999999999998</v>
      </c>
      <c r="D112" s="194">
        <v>28</v>
      </c>
      <c r="E112" s="194">
        <v>0.88500000000000001</v>
      </c>
      <c r="F112" s="194">
        <v>0.90500000000000003</v>
      </c>
      <c r="G112" s="194">
        <v>21</v>
      </c>
      <c r="H112" s="194">
        <v>0.86599999999999999</v>
      </c>
      <c r="I112" s="194">
        <v>0.89700000000000002</v>
      </c>
      <c r="J112" s="194">
        <v>29</v>
      </c>
      <c r="K112" s="194">
        <v>0.88300000000000001</v>
      </c>
      <c r="L112" s="194">
        <v>0.81299999999999994</v>
      </c>
      <c r="M112" s="194">
        <v>32</v>
      </c>
      <c r="N112" s="194">
        <v>0.873</v>
      </c>
      <c r="O112" s="194">
        <v>1</v>
      </c>
      <c r="P112" s="194">
        <v>16</v>
      </c>
      <c r="Q112" s="194">
        <v>0.89100000000000001</v>
      </c>
      <c r="R112" s="194">
        <v>0.87</v>
      </c>
      <c r="S112" s="194">
        <v>23</v>
      </c>
      <c r="T112" s="194">
        <v>0.81</v>
      </c>
      <c r="U112" s="194">
        <v>0.81299999999999994</v>
      </c>
      <c r="V112" s="194">
        <v>16</v>
      </c>
      <c r="W112" s="194">
        <v>0.79500000000000004</v>
      </c>
      <c r="X112" s="194">
        <v>0.75</v>
      </c>
      <c r="Y112" s="194">
        <v>24</v>
      </c>
      <c r="Z112" s="194">
        <v>0.84099999999999997</v>
      </c>
      <c r="AA112" s="194">
        <v>0.81799999999999995</v>
      </c>
      <c r="AB112" s="194">
        <v>33</v>
      </c>
      <c r="AC112" s="194">
        <v>0.86899999999999999</v>
      </c>
      <c r="AD112" s="194">
        <v>0.96</v>
      </c>
      <c r="AE112" s="194">
        <v>25</v>
      </c>
      <c r="AF112" s="194">
        <v>0.871</v>
      </c>
      <c r="AG112" s="194">
        <v>0.84599999999999997</v>
      </c>
      <c r="AH112" s="194">
        <v>26</v>
      </c>
      <c r="AI112" s="194">
        <v>0.84199999999999997</v>
      </c>
      <c r="AJ112" s="194">
        <v>0.84</v>
      </c>
      <c r="AK112" s="194">
        <v>50</v>
      </c>
      <c r="AL112" s="140"/>
      <c r="AM112" s="140"/>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c r="BI112" s="140"/>
    </row>
    <row r="113" spans="1:61" x14ac:dyDescent="0.3">
      <c r="A113" s="193" t="s">
        <v>348</v>
      </c>
      <c r="B113" s="194">
        <v>0.90600000000000003</v>
      </c>
      <c r="C113" s="194">
        <v>0.91700000000000004</v>
      </c>
      <c r="D113" s="194">
        <v>12</v>
      </c>
      <c r="E113" s="194">
        <v>0.85499999999999998</v>
      </c>
      <c r="F113" s="194">
        <v>0.9</v>
      </c>
      <c r="G113" s="194">
        <v>20</v>
      </c>
      <c r="H113" s="194">
        <v>0.81299999999999994</v>
      </c>
      <c r="I113" s="194">
        <v>0.78300000000000003</v>
      </c>
      <c r="J113" s="194">
        <v>23</v>
      </c>
      <c r="K113" s="194">
        <v>0.75</v>
      </c>
      <c r="L113" s="194">
        <v>0.76200000000000001</v>
      </c>
      <c r="M113" s="194">
        <v>21</v>
      </c>
      <c r="N113" s="194">
        <v>0.79200000000000004</v>
      </c>
      <c r="O113" s="194">
        <v>0.68799999999999994</v>
      </c>
      <c r="P113" s="194">
        <v>16</v>
      </c>
      <c r="Q113" s="194">
        <v>0.77500000000000002</v>
      </c>
      <c r="R113" s="194">
        <v>1</v>
      </c>
      <c r="S113" s="194">
        <v>11</v>
      </c>
      <c r="T113" s="194">
        <v>0.75</v>
      </c>
      <c r="U113" s="194">
        <v>0.69199999999999995</v>
      </c>
      <c r="V113" s="194">
        <v>13</v>
      </c>
      <c r="W113" s="194">
        <v>0.68400000000000005</v>
      </c>
      <c r="X113" s="194">
        <v>0.65</v>
      </c>
      <c r="Y113" s="194">
        <v>20</v>
      </c>
      <c r="Z113" s="194">
        <v>0.66700000000000004</v>
      </c>
      <c r="AA113" s="194">
        <v>0.70799999999999996</v>
      </c>
      <c r="AB113" s="194">
        <v>24</v>
      </c>
      <c r="AC113" s="194">
        <v>0.71399999999999997</v>
      </c>
      <c r="AD113" s="194">
        <v>0.57099999999999995</v>
      </c>
      <c r="AE113" s="194">
        <v>7</v>
      </c>
      <c r="AF113" s="194">
        <v>0.75900000000000001</v>
      </c>
      <c r="AG113" s="194">
        <v>0.76</v>
      </c>
      <c r="AH113" s="194">
        <v>25</v>
      </c>
      <c r="AI113" s="194">
        <v>0.78700000000000003</v>
      </c>
      <c r="AJ113" s="194">
        <v>0.81799999999999995</v>
      </c>
      <c r="AK113" s="194">
        <v>22</v>
      </c>
      <c r="AL113" s="140"/>
      <c r="AM113" s="140"/>
      <c r="AN113" s="140"/>
      <c r="AO113" s="140"/>
      <c r="AP113" s="140"/>
      <c r="AQ113" s="140"/>
      <c r="AR113" s="140"/>
      <c r="AS113" s="140"/>
      <c r="AT113" s="140"/>
      <c r="AU113" s="140"/>
      <c r="AV113" s="140"/>
      <c r="AW113" s="140"/>
      <c r="AX113" s="140"/>
      <c r="AY113" s="140"/>
      <c r="AZ113" s="140"/>
      <c r="BA113" s="140"/>
      <c r="BB113" s="140"/>
      <c r="BC113" s="140"/>
      <c r="BD113" s="140"/>
      <c r="BE113" s="140"/>
      <c r="BF113" s="140"/>
      <c r="BG113" s="140"/>
      <c r="BH113" s="140"/>
      <c r="BI113" s="140"/>
    </row>
    <row r="114" spans="1:61" x14ac:dyDescent="0.3">
      <c r="A114" s="193" t="s">
        <v>410</v>
      </c>
      <c r="B114" s="194">
        <v>0.98199999999999998</v>
      </c>
      <c r="C114" s="194">
        <v>1</v>
      </c>
      <c r="D114" s="194">
        <v>28</v>
      </c>
      <c r="E114" s="194">
        <v>0.98799999999999999</v>
      </c>
      <c r="F114" s="194">
        <v>0.96399999999999997</v>
      </c>
      <c r="G114" s="194">
        <v>28</v>
      </c>
      <c r="H114" s="194">
        <v>0.97499999999999998</v>
      </c>
      <c r="I114" s="194">
        <v>1</v>
      </c>
      <c r="J114" s="194">
        <v>30</v>
      </c>
      <c r="K114" s="194">
        <v>0.98799999999999999</v>
      </c>
      <c r="L114" s="194">
        <v>0.95499999999999996</v>
      </c>
      <c r="M114" s="194">
        <v>22</v>
      </c>
      <c r="N114" s="194">
        <v>0.98799999999999999</v>
      </c>
      <c r="O114" s="194">
        <v>1</v>
      </c>
      <c r="P114" s="194">
        <v>29</v>
      </c>
      <c r="Q114" s="194">
        <v>0.96699999999999997</v>
      </c>
      <c r="R114" s="194">
        <v>1</v>
      </c>
      <c r="S114" s="194">
        <v>30</v>
      </c>
      <c r="T114" s="194">
        <v>0.93700000000000006</v>
      </c>
      <c r="U114" s="194">
        <v>0.90900000000000003</v>
      </c>
      <c r="V114" s="194">
        <v>33</v>
      </c>
      <c r="W114" s="194">
        <v>0.92300000000000004</v>
      </c>
      <c r="X114" s="194">
        <v>0.875</v>
      </c>
      <c r="Y114" s="194">
        <v>16</v>
      </c>
      <c r="Z114" s="194">
        <v>0.95299999999999996</v>
      </c>
      <c r="AA114" s="194">
        <v>1</v>
      </c>
      <c r="AB114" s="194">
        <v>16</v>
      </c>
      <c r="AC114" s="194">
        <v>0.97599999999999998</v>
      </c>
      <c r="AD114" s="194">
        <v>0.96899999999999997</v>
      </c>
      <c r="AE114" s="194">
        <v>32</v>
      </c>
      <c r="AF114" s="194">
        <v>0.98</v>
      </c>
      <c r="AG114" s="194">
        <v>0.97099999999999997</v>
      </c>
      <c r="AH114" s="194">
        <v>34</v>
      </c>
      <c r="AI114" s="194">
        <v>0.98499999999999999</v>
      </c>
      <c r="AJ114" s="194">
        <v>1</v>
      </c>
      <c r="AK114" s="194">
        <v>34</v>
      </c>
      <c r="AL114" s="140"/>
      <c r="AM114" s="140"/>
      <c r="AN114" s="140"/>
      <c r="AO114" s="140"/>
      <c r="AP114" s="140"/>
      <c r="AQ114" s="140"/>
      <c r="AR114" s="140"/>
      <c r="AS114" s="140"/>
      <c r="AT114" s="140"/>
      <c r="AU114" s="140"/>
      <c r="AV114" s="140"/>
      <c r="AW114" s="140"/>
      <c r="AX114" s="140"/>
      <c r="AY114" s="140"/>
      <c r="AZ114" s="140"/>
      <c r="BA114" s="140"/>
      <c r="BB114" s="140"/>
      <c r="BC114" s="140"/>
      <c r="BD114" s="140"/>
      <c r="BE114" s="140"/>
      <c r="BF114" s="140"/>
      <c r="BG114" s="140"/>
      <c r="BH114" s="140"/>
      <c r="BI114" s="140"/>
    </row>
    <row r="115" spans="1:61" x14ac:dyDescent="0.3">
      <c r="A115" s="193" t="s">
        <v>460</v>
      </c>
      <c r="B115" s="194">
        <v>1</v>
      </c>
      <c r="C115" s="194">
        <v>1</v>
      </c>
      <c r="D115" s="194">
        <v>18</v>
      </c>
      <c r="E115" s="194">
        <v>1</v>
      </c>
      <c r="F115" s="194">
        <v>1</v>
      </c>
      <c r="G115" s="194">
        <v>31</v>
      </c>
      <c r="H115" s="194">
        <v>1</v>
      </c>
      <c r="I115" s="194">
        <v>1</v>
      </c>
      <c r="J115" s="194">
        <v>28</v>
      </c>
      <c r="K115" s="194">
        <v>1</v>
      </c>
      <c r="L115" s="194">
        <v>1</v>
      </c>
      <c r="M115" s="194">
        <v>25</v>
      </c>
      <c r="N115" s="194">
        <v>0.98799999999999999</v>
      </c>
      <c r="O115" s="194">
        <v>1</v>
      </c>
      <c r="P115" s="194">
        <v>23</v>
      </c>
      <c r="Q115" s="194">
        <v>0.98499999999999999</v>
      </c>
      <c r="R115" s="194">
        <v>0.97</v>
      </c>
      <c r="S115" s="194">
        <v>33</v>
      </c>
      <c r="T115" s="194">
        <v>0.96699999999999997</v>
      </c>
      <c r="U115" s="194">
        <v>1</v>
      </c>
      <c r="V115" s="194">
        <v>12</v>
      </c>
      <c r="W115" s="194">
        <v>0.97599999999999998</v>
      </c>
      <c r="X115" s="194">
        <v>0.93799999999999994</v>
      </c>
      <c r="Y115" s="194">
        <v>16</v>
      </c>
      <c r="Z115" s="194">
        <v>0.95799999999999996</v>
      </c>
      <c r="AA115" s="194">
        <v>1</v>
      </c>
      <c r="AB115" s="194">
        <v>14</v>
      </c>
      <c r="AC115" s="194">
        <v>0.93899999999999995</v>
      </c>
      <c r="AD115" s="194">
        <v>0.94399999999999995</v>
      </c>
      <c r="AE115" s="194">
        <v>18</v>
      </c>
      <c r="AF115" s="194">
        <v>0.93</v>
      </c>
      <c r="AG115" s="194">
        <v>0.88200000000000001</v>
      </c>
      <c r="AH115" s="194">
        <v>17</v>
      </c>
      <c r="AI115" s="194">
        <v>0.92300000000000004</v>
      </c>
      <c r="AJ115" s="194">
        <v>0.95499999999999996</v>
      </c>
      <c r="AK115" s="194">
        <v>22</v>
      </c>
      <c r="AL115" s="140"/>
      <c r="AM115" s="140"/>
      <c r="AN115" s="140"/>
      <c r="AO115" s="140"/>
      <c r="AP115" s="140"/>
      <c r="AQ115" s="140"/>
      <c r="AR115" s="140"/>
      <c r="AS115" s="140"/>
      <c r="AT115" s="140"/>
      <c r="AU115" s="140"/>
      <c r="AV115" s="140"/>
      <c r="AW115" s="140"/>
      <c r="AX115" s="140"/>
      <c r="AY115" s="140"/>
      <c r="AZ115" s="140"/>
      <c r="BA115" s="140"/>
      <c r="BB115" s="140"/>
      <c r="BC115" s="140"/>
      <c r="BD115" s="140"/>
      <c r="BE115" s="140"/>
      <c r="BF115" s="140"/>
      <c r="BG115" s="140"/>
      <c r="BH115" s="140"/>
      <c r="BI115" s="140"/>
    </row>
    <row r="116" spans="1:61" x14ac:dyDescent="0.3">
      <c r="A116" s="193" t="s">
        <v>288</v>
      </c>
      <c r="B116" s="194">
        <v>1</v>
      </c>
      <c r="C116" s="194">
        <v>1</v>
      </c>
      <c r="D116" s="194">
        <v>18</v>
      </c>
      <c r="E116" s="194">
        <v>0.98299999999999998</v>
      </c>
      <c r="F116" s="194">
        <v>1</v>
      </c>
      <c r="G116" s="194">
        <v>17</v>
      </c>
      <c r="H116" s="194">
        <v>0.98299999999999998</v>
      </c>
      <c r="I116" s="194">
        <v>0.95699999999999996</v>
      </c>
      <c r="J116" s="194">
        <v>23</v>
      </c>
      <c r="K116" s="194">
        <v>0.96399999999999997</v>
      </c>
      <c r="L116" s="194">
        <v>1</v>
      </c>
      <c r="M116" s="194">
        <v>18</v>
      </c>
      <c r="N116" s="194">
        <v>0.93799999999999994</v>
      </c>
      <c r="O116" s="194">
        <v>0.93300000000000005</v>
      </c>
      <c r="P116" s="194">
        <v>15</v>
      </c>
      <c r="Q116" s="194">
        <v>0.92900000000000005</v>
      </c>
      <c r="R116" s="194">
        <v>0.86699999999999999</v>
      </c>
      <c r="S116" s="194">
        <v>15</v>
      </c>
      <c r="T116" s="194">
        <v>0.92900000000000005</v>
      </c>
      <c r="U116" s="194">
        <v>1</v>
      </c>
      <c r="V116" s="194">
        <v>12</v>
      </c>
      <c r="W116" s="194">
        <v>0.92900000000000005</v>
      </c>
      <c r="X116" s="194">
        <v>0.93300000000000005</v>
      </c>
      <c r="Y116" s="194">
        <v>15</v>
      </c>
      <c r="Z116" s="194">
        <v>0.92500000000000004</v>
      </c>
      <c r="AA116" s="194">
        <v>0.86699999999999999</v>
      </c>
      <c r="AB116" s="194">
        <v>15</v>
      </c>
      <c r="AC116" s="194">
        <v>0.90600000000000003</v>
      </c>
      <c r="AD116" s="194">
        <v>1</v>
      </c>
      <c r="AE116" s="194">
        <v>10</v>
      </c>
      <c r="AF116" s="194">
        <v>0.93300000000000005</v>
      </c>
      <c r="AG116" s="194">
        <v>0.85699999999999998</v>
      </c>
      <c r="AH116" s="194">
        <v>7</v>
      </c>
      <c r="AI116" s="194">
        <v>0.9</v>
      </c>
      <c r="AJ116" s="194">
        <v>0.92300000000000004</v>
      </c>
      <c r="AK116" s="194">
        <v>13</v>
      </c>
      <c r="AL116" s="140"/>
      <c r="AM116" s="140"/>
      <c r="AN116" s="140"/>
      <c r="AO116" s="140"/>
      <c r="AP116" s="140"/>
      <c r="AQ116" s="140"/>
      <c r="AR116" s="140"/>
      <c r="AS116" s="140"/>
      <c r="AT116" s="140"/>
      <c r="AU116" s="140"/>
      <c r="AV116" s="140"/>
      <c r="AW116" s="140"/>
      <c r="AX116" s="140"/>
      <c r="AY116" s="140"/>
      <c r="AZ116" s="140"/>
      <c r="BA116" s="140"/>
      <c r="BB116" s="140"/>
      <c r="BC116" s="140"/>
      <c r="BD116" s="140"/>
      <c r="BE116" s="140"/>
      <c r="BF116" s="140"/>
      <c r="BG116" s="140"/>
      <c r="BH116" s="140"/>
      <c r="BI116" s="140"/>
    </row>
    <row r="117" spans="1:61" x14ac:dyDescent="0.3">
      <c r="A117" s="193" t="s">
        <v>388</v>
      </c>
      <c r="B117" s="194">
        <v>1</v>
      </c>
      <c r="C117" s="194">
        <v>1</v>
      </c>
      <c r="D117" s="194">
        <v>13</v>
      </c>
      <c r="E117" s="194">
        <v>1</v>
      </c>
      <c r="F117" s="194">
        <v>1</v>
      </c>
      <c r="G117" s="194">
        <v>14</v>
      </c>
      <c r="H117" s="194">
        <v>1</v>
      </c>
      <c r="I117" s="194">
        <v>1</v>
      </c>
      <c r="J117" s="194">
        <v>12</v>
      </c>
      <c r="K117" s="194">
        <v>1</v>
      </c>
      <c r="L117" s="194">
        <v>1</v>
      </c>
      <c r="M117" s="194">
        <v>12</v>
      </c>
      <c r="N117" s="194">
        <v>1</v>
      </c>
      <c r="O117" s="194">
        <v>1</v>
      </c>
      <c r="P117" s="194">
        <v>5</v>
      </c>
      <c r="Q117" s="194">
        <v>1</v>
      </c>
      <c r="R117" s="194">
        <v>1</v>
      </c>
      <c r="S117" s="194">
        <v>7</v>
      </c>
      <c r="T117" s="194">
        <v>0.97</v>
      </c>
      <c r="U117" s="194">
        <v>1</v>
      </c>
      <c r="V117" s="194">
        <v>8</v>
      </c>
      <c r="W117" s="194">
        <v>0.95699999999999996</v>
      </c>
      <c r="X117" s="194">
        <v>0.94399999999999995</v>
      </c>
      <c r="Y117" s="194">
        <v>18</v>
      </c>
      <c r="Z117" s="194">
        <v>0.95799999999999996</v>
      </c>
      <c r="AA117" s="194">
        <v>0.95199999999999996</v>
      </c>
      <c r="AB117" s="194">
        <v>21</v>
      </c>
      <c r="AC117" s="194">
        <v>0.96199999999999997</v>
      </c>
      <c r="AD117" s="194">
        <v>0.97</v>
      </c>
      <c r="AE117" s="194">
        <v>33</v>
      </c>
      <c r="AF117" s="194">
        <v>0.97399999999999998</v>
      </c>
      <c r="AG117" s="194">
        <v>0.96199999999999997</v>
      </c>
      <c r="AH117" s="194">
        <v>26</v>
      </c>
      <c r="AI117" s="194">
        <v>0.97699999999999998</v>
      </c>
      <c r="AJ117" s="194">
        <v>1</v>
      </c>
      <c r="AK117" s="194">
        <v>18</v>
      </c>
      <c r="AL117" s="140"/>
      <c r="AM117" s="140"/>
      <c r="AN117" s="140"/>
      <c r="AO117" s="140"/>
      <c r="AP117" s="140"/>
      <c r="AQ117" s="140"/>
      <c r="AR117" s="140"/>
      <c r="AS117" s="140"/>
      <c r="AT117" s="140"/>
      <c r="AU117" s="140"/>
      <c r="AV117" s="140"/>
      <c r="AW117" s="140"/>
      <c r="AX117" s="140"/>
      <c r="AY117" s="140"/>
      <c r="AZ117" s="140"/>
      <c r="BA117" s="140"/>
      <c r="BB117" s="140"/>
      <c r="BC117" s="140"/>
      <c r="BD117" s="140"/>
      <c r="BE117" s="140"/>
      <c r="BF117" s="140"/>
      <c r="BG117" s="140"/>
      <c r="BH117" s="140"/>
      <c r="BI117" s="140"/>
    </row>
    <row r="118" spans="1:61" x14ac:dyDescent="0.3">
      <c r="A118" s="193" t="s">
        <v>322</v>
      </c>
      <c r="B118" s="194">
        <v>1</v>
      </c>
      <c r="C118" s="194">
        <v>1</v>
      </c>
      <c r="D118" s="194">
        <v>3</v>
      </c>
      <c r="E118" s="194">
        <v>1</v>
      </c>
      <c r="F118" s="194">
        <v>1</v>
      </c>
      <c r="G118" s="194">
        <v>8</v>
      </c>
      <c r="H118" s="194">
        <v>1</v>
      </c>
      <c r="I118" s="194">
        <v>1</v>
      </c>
      <c r="J118" s="194">
        <v>3</v>
      </c>
      <c r="K118" s="194">
        <v>1</v>
      </c>
      <c r="L118" s="194">
        <v>1</v>
      </c>
      <c r="M118" s="194">
        <v>8</v>
      </c>
      <c r="N118" s="194">
        <v>1</v>
      </c>
      <c r="O118" s="194">
        <v>1</v>
      </c>
      <c r="P118" s="194">
        <v>4</v>
      </c>
      <c r="Q118" s="194">
        <v>1</v>
      </c>
      <c r="R118" s="194">
        <v>1</v>
      </c>
      <c r="S118" s="194">
        <v>6</v>
      </c>
      <c r="T118" s="194">
        <v>0.93799999999999994</v>
      </c>
      <c r="U118" s="194">
        <v>1</v>
      </c>
      <c r="V118" s="194">
        <v>3</v>
      </c>
      <c r="W118" s="194">
        <v>0.93799999999999994</v>
      </c>
      <c r="X118" s="194">
        <v>0.85699999999999998</v>
      </c>
      <c r="Y118" s="194">
        <v>7</v>
      </c>
      <c r="Z118" s="194">
        <v>0.94099999999999995</v>
      </c>
      <c r="AA118" s="194">
        <v>1</v>
      </c>
      <c r="AB118" s="194">
        <v>6</v>
      </c>
      <c r="AC118" s="194">
        <v>0.97</v>
      </c>
      <c r="AD118" s="194">
        <v>1</v>
      </c>
      <c r="AE118" s="194">
        <v>4</v>
      </c>
      <c r="AF118" s="194">
        <v>0.94699999999999995</v>
      </c>
      <c r="AG118" s="194">
        <v>0.95699999999999996</v>
      </c>
      <c r="AH118" s="194">
        <v>23</v>
      </c>
      <c r="AI118" s="194">
        <v>0.94099999999999995</v>
      </c>
      <c r="AJ118" s="194">
        <v>0.90900000000000003</v>
      </c>
      <c r="AK118" s="194">
        <v>11</v>
      </c>
      <c r="AL118" s="140"/>
      <c r="AM118" s="140"/>
      <c r="AN118" s="140"/>
      <c r="AO118" s="140"/>
      <c r="AP118" s="140"/>
      <c r="AQ118" s="140"/>
      <c r="AR118" s="140"/>
      <c r="AS118" s="140"/>
      <c r="AT118" s="140"/>
      <c r="AU118" s="140"/>
      <c r="AV118" s="140"/>
      <c r="AW118" s="140"/>
      <c r="AX118" s="140"/>
      <c r="AY118" s="140"/>
      <c r="AZ118" s="140"/>
      <c r="BA118" s="140"/>
      <c r="BB118" s="140"/>
      <c r="BC118" s="140"/>
      <c r="BD118" s="140"/>
      <c r="BE118" s="140"/>
      <c r="BF118" s="140"/>
      <c r="BG118" s="140"/>
      <c r="BH118" s="140"/>
      <c r="BI118" s="140"/>
    </row>
    <row r="119" spans="1:61" x14ac:dyDescent="0.3">
      <c r="A119" s="193" t="s">
        <v>299</v>
      </c>
      <c r="B119" s="194">
        <v>0.96799999999999997</v>
      </c>
      <c r="C119" s="194">
        <v>0.95</v>
      </c>
      <c r="D119" s="194">
        <v>20</v>
      </c>
      <c r="E119" s="194">
        <v>0.97899999999999998</v>
      </c>
      <c r="F119" s="194">
        <v>1</v>
      </c>
      <c r="G119" s="194">
        <v>11</v>
      </c>
      <c r="H119" s="194">
        <v>0.97299999999999998</v>
      </c>
      <c r="I119" s="194">
        <v>1</v>
      </c>
      <c r="J119" s="194">
        <v>17</v>
      </c>
      <c r="K119" s="194">
        <v>0.97</v>
      </c>
      <c r="L119" s="194">
        <v>0.88900000000000001</v>
      </c>
      <c r="M119" s="194">
        <v>9</v>
      </c>
      <c r="N119" s="194">
        <v>0.96399999999999997</v>
      </c>
      <c r="O119" s="194">
        <v>1</v>
      </c>
      <c r="P119" s="194">
        <v>7</v>
      </c>
      <c r="Q119" s="194">
        <v>1</v>
      </c>
      <c r="R119" s="194">
        <v>1</v>
      </c>
      <c r="S119" s="194">
        <v>12</v>
      </c>
      <c r="T119" s="194">
        <v>1</v>
      </c>
      <c r="U119" s="194">
        <v>1</v>
      </c>
      <c r="V119" s="194">
        <v>10</v>
      </c>
      <c r="W119" s="194">
        <v>1</v>
      </c>
      <c r="X119" s="194">
        <v>1</v>
      </c>
      <c r="Y119" s="194">
        <v>10</v>
      </c>
      <c r="Z119" s="194">
        <v>1</v>
      </c>
      <c r="AA119" s="194">
        <v>1</v>
      </c>
      <c r="AB119" s="194">
        <v>10</v>
      </c>
      <c r="AC119" s="194">
        <v>1</v>
      </c>
      <c r="AD119" s="194">
        <v>1</v>
      </c>
      <c r="AE119" s="194">
        <v>9</v>
      </c>
      <c r="AF119" s="194">
        <v>0.96299999999999997</v>
      </c>
      <c r="AG119" s="194">
        <v>1</v>
      </c>
      <c r="AH119" s="194">
        <v>5</v>
      </c>
      <c r="AI119" s="194">
        <v>0.94399999999999995</v>
      </c>
      <c r="AJ119" s="194">
        <v>0.92300000000000004</v>
      </c>
      <c r="AK119" s="194">
        <v>13</v>
      </c>
      <c r="AL119" s="140"/>
      <c r="AM119" s="140"/>
      <c r="AN119" s="140"/>
      <c r="AO119" s="140"/>
      <c r="AP119" s="140"/>
      <c r="AQ119" s="140"/>
      <c r="AR119" s="140"/>
      <c r="AS119" s="140"/>
      <c r="AT119" s="140"/>
      <c r="AU119" s="140"/>
      <c r="AV119" s="140"/>
      <c r="AW119" s="140"/>
      <c r="AX119" s="140"/>
      <c r="AY119" s="140"/>
      <c r="AZ119" s="140"/>
      <c r="BA119" s="140"/>
      <c r="BB119" s="140"/>
      <c r="BC119" s="140"/>
      <c r="BD119" s="140"/>
      <c r="BE119" s="140"/>
      <c r="BF119" s="140"/>
      <c r="BG119" s="140"/>
      <c r="BH119" s="140"/>
      <c r="BI119" s="140"/>
    </row>
    <row r="120" spans="1:61" x14ac:dyDescent="0.3">
      <c r="A120" s="193" t="s">
        <v>343</v>
      </c>
      <c r="B120" s="194">
        <v>1</v>
      </c>
      <c r="C120" s="194">
        <v>1</v>
      </c>
      <c r="D120" s="194">
        <v>33</v>
      </c>
      <c r="E120" s="194">
        <v>0.99</v>
      </c>
      <c r="F120" s="194">
        <v>1</v>
      </c>
      <c r="G120" s="194">
        <v>33</v>
      </c>
      <c r="H120" s="194">
        <v>0.98799999999999999</v>
      </c>
      <c r="I120" s="194">
        <v>0.96799999999999997</v>
      </c>
      <c r="J120" s="194">
        <v>31</v>
      </c>
      <c r="K120" s="194">
        <v>0.98499999999999999</v>
      </c>
      <c r="L120" s="194">
        <v>1</v>
      </c>
      <c r="M120" s="194">
        <v>20</v>
      </c>
      <c r="N120" s="194">
        <v>1</v>
      </c>
      <c r="O120" s="194">
        <v>1</v>
      </c>
      <c r="P120" s="194">
        <v>14</v>
      </c>
      <c r="Q120" s="194">
        <v>1</v>
      </c>
      <c r="R120" s="194">
        <v>1</v>
      </c>
      <c r="S120" s="194">
        <v>20</v>
      </c>
      <c r="T120" s="194">
        <v>1</v>
      </c>
      <c r="U120" s="194">
        <v>1</v>
      </c>
      <c r="V120" s="194">
        <v>19</v>
      </c>
      <c r="W120" s="194">
        <v>0.98899999999999999</v>
      </c>
      <c r="X120" s="194">
        <v>1</v>
      </c>
      <c r="Y120" s="194">
        <v>37</v>
      </c>
      <c r="Z120" s="194">
        <v>0.97199999999999998</v>
      </c>
      <c r="AA120" s="194">
        <v>0.97399999999999998</v>
      </c>
      <c r="AB120" s="194">
        <v>39</v>
      </c>
      <c r="AC120" s="194">
        <v>0.95699999999999996</v>
      </c>
      <c r="AD120" s="194">
        <v>0.93899999999999995</v>
      </c>
      <c r="AE120" s="194">
        <v>33</v>
      </c>
      <c r="AF120" s="194">
        <v>0.96399999999999997</v>
      </c>
      <c r="AG120" s="194">
        <v>0.95499999999999996</v>
      </c>
      <c r="AH120" s="194">
        <v>44</v>
      </c>
      <c r="AI120" s="194">
        <v>0.97399999999999998</v>
      </c>
      <c r="AJ120" s="194">
        <v>1</v>
      </c>
      <c r="AK120" s="194">
        <v>34</v>
      </c>
      <c r="AL120" s="140"/>
      <c r="AM120" s="140"/>
      <c r="AN120" s="140"/>
      <c r="AO120" s="140"/>
      <c r="AP120" s="140"/>
      <c r="AQ120" s="140"/>
      <c r="AR120" s="140"/>
      <c r="AS120" s="140"/>
      <c r="AT120" s="140"/>
      <c r="AU120" s="140"/>
      <c r="AV120" s="140"/>
      <c r="AW120" s="140"/>
      <c r="AX120" s="140"/>
      <c r="AY120" s="140"/>
      <c r="AZ120" s="140"/>
      <c r="BA120" s="140"/>
      <c r="BB120" s="140"/>
      <c r="BC120" s="140"/>
      <c r="BD120" s="140"/>
      <c r="BE120" s="140"/>
      <c r="BF120" s="140"/>
      <c r="BG120" s="140"/>
      <c r="BH120" s="140"/>
      <c r="BI120" s="140"/>
    </row>
    <row r="121" spans="1:61" x14ac:dyDescent="0.3">
      <c r="A121" s="193" t="s">
        <v>466</v>
      </c>
      <c r="B121" s="194">
        <v>0.97</v>
      </c>
      <c r="C121" s="194">
        <v>0.94099999999999995</v>
      </c>
      <c r="D121" s="194">
        <v>17</v>
      </c>
      <c r="E121" s="194">
        <v>0.96599999999999997</v>
      </c>
      <c r="F121" s="194">
        <v>1</v>
      </c>
      <c r="G121" s="194">
        <v>16</v>
      </c>
      <c r="H121" s="194">
        <v>0.98299999999999998</v>
      </c>
      <c r="I121" s="194">
        <v>0.96199999999999997</v>
      </c>
      <c r="J121" s="194">
        <v>26</v>
      </c>
      <c r="K121" s="194">
        <v>0.95499999999999996</v>
      </c>
      <c r="L121" s="194">
        <v>1</v>
      </c>
      <c r="M121" s="194">
        <v>16</v>
      </c>
      <c r="N121" s="194">
        <v>0.97299999999999998</v>
      </c>
      <c r="O121" s="194">
        <v>0.92</v>
      </c>
      <c r="P121" s="194">
        <v>25</v>
      </c>
      <c r="Q121" s="194">
        <v>0.97499999999999998</v>
      </c>
      <c r="R121" s="194">
        <v>1</v>
      </c>
      <c r="S121" s="194">
        <v>32</v>
      </c>
      <c r="T121" s="194">
        <v>1</v>
      </c>
      <c r="U121" s="194">
        <v>1</v>
      </c>
      <c r="V121" s="194">
        <v>22</v>
      </c>
      <c r="W121" s="194">
        <v>0.98499999999999999</v>
      </c>
      <c r="X121" s="194">
        <v>1</v>
      </c>
      <c r="Y121" s="194">
        <v>20</v>
      </c>
      <c r="Z121" s="194">
        <v>0.96699999999999997</v>
      </c>
      <c r="AA121" s="194">
        <v>0.95699999999999996</v>
      </c>
      <c r="AB121" s="194">
        <v>23</v>
      </c>
      <c r="AC121" s="194">
        <v>0.94699999999999995</v>
      </c>
      <c r="AD121" s="194">
        <v>0.94099999999999995</v>
      </c>
      <c r="AE121" s="194">
        <v>17</v>
      </c>
      <c r="AF121" s="194">
        <v>0.92800000000000005</v>
      </c>
      <c r="AG121" s="194">
        <v>0.94099999999999995</v>
      </c>
      <c r="AH121" s="194">
        <v>17</v>
      </c>
      <c r="AI121" s="194">
        <v>0.92300000000000004</v>
      </c>
      <c r="AJ121" s="194">
        <v>0.91400000000000003</v>
      </c>
      <c r="AK121" s="194">
        <v>35</v>
      </c>
      <c r="AL121" s="140"/>
      <c r="AM121" s="140"/>
      <c r="AN121" s="140"/>
      <c r="AO121" s="140"/>
      <c r="AP121" s="140"/>
      <c r="AQ121" s="140"/>
      <c r="AR121" s="140"/>
      <c r="AS121" s="140"/>
      <c r="AT121" s="140"/>
      <c r="AU121" s="140"/>
      <c r="AV121" s="140"/>
      <c r="AW121" s="140"/>
      <c r="AX121" s="140"/>
      <c r="AY121" s="140"/>
      <c r="AZ121" s="140"/>
      <c r="BA121" s="140"/>
      <c r="BB121" s="140"/>
      <c r="BC121" s="140"/>
      <c r="BD121" s="140"/>
      <c r="BE121" s="140"/>
      <c r="BF121" s="140"/>
      <c r="BG121" s="140"/>
      <c r="BH121" s="140"/>
      <c r="BI121" s="140"/>
    </row>
    <row r="122" spans="1:61" x14ac:dyDescent="0.3">
      <c r="A122" s="193" t="s">
        <v>376</v>
      </c>
      <c r="B122" s="194">
        <v>0.93600000000000005</v>
      </c>
      <c r="C122" s="194">
        <v>0.88900000000000001</v>
      </c>
      <c r="D122" s="194">
        <v>27</v>
      </c>
      <c r="E122" s="194">
        <v>0.94099999999999995</v>
      </c>
      <c r="F122" s="194">
        <v>1</v>
      </c>
      <c r="G122" s="194">
        <v>20</v>
      </c>
      <c r="H122" s="194">
        <v>0.91800000000000004</v>
      </c>
      <c r="I122" s="194">
        <v>0.95199999999999996</v>
      </c>
      <c r="J122" s="194">
        <v>21</v>
      </c>
      <c r="K122" s="194">
        <v>0.872</v>
      </c>
      <c r="L122" s="194">
        <v>0.84399999999999997</v>
      </c>
      <c r="M122" s="194">
        <v>32</v>
      </c>
      <c r="N122" s="194">
        <v>0.86</v>
      </c>
      <c r="O122" s="194">
        <v>0.84</v>
      </c>
      <c r="P122" s="194">
        <v>25</v>
      </c>
      <c r="Q122" s="194">
        <v>0.83799999999999997</v>
      </c>
      <c r="R122" s="194">
        <v>0.89700000000000002</v>
      </c>
      <c r="S122" s="194">
        <v>29</v>
      </c>
      <c r="T122" s="194">
        <v>0.81599999999999995</v>
      </c>
      <c r="U122" s="194">
        <v>0.8</v>
      </c>
      <c r="V122" s="194">
        <v>45</v>
      </c>
      <c r="W122" s="194">
        <v>0.81</v>
      </c>
      <c r="X122" s="194">
        <v>0.78400000000000003</v>
      </c>
      <c r="Y122" s="194">
        <v>51</v>
      </c>
      <c r="Z122" s="194">
        <v>0.82799999999999996</v>
      </c>
      <c r="AA122" s="194">
        <v>0.84299999999999997</v>
      </c>
      <c r="AB122" s="194">
        <v>51</v>
      </c>
      <c r="AC122" s="194">
        <v>0.877</v>
      </c>
      <c r="AD122" s="194">
        <v>0.875</v>
      </c>
      <c r="AE122" s="194">
        <v>32</v>
      </c>
      <c r="AF122" s="194">
        <v>0.85699999999999998</v>
      </c>
      <c r="AG122" s="194">
        <v>0.93500000000000005</v>
      </c>
      <c r="AH122" s="194">
        <v>31</v>
      </c>
      <c r="AI122" s="194">
        <v>0.84899999999999998</v>
      </c>
      <c r="AJ122" s="194">
        <v>0.78600000000000003</v>
      </c>
      <c r="AK122" s="194">
        <v>42</v>
      </c>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row>
    <row r="123" spans="1:61" x14ac:dyDescent="0.3">
      <c r="A123" s="193" t="s">
        <v>534</v>
      </c>
      <c r="B123" s="194">
        <v>0.98899999999999999</v>
      </c>
      <c r="C123" s="194">
        <v>1</v>
      </c>
      <c r="D123" s="194">
        <v>46</v>
      </c>
      <c r="E123" s="194">
        <v>0.97799999999999998</v>
      </c>
      <c r="F123" s="194">
        <v>0.97799999999999998</v>
      </c>
      <c r="G123" s="194">
        <v>46</v>
      </c>
      <c r="H123" s="194">
        <v>0.96399999999999997</v>
      </c>
      <c r="I123" s="194">
        <v>0.95299999999999996</v>
      </c>
      <c r="J123" s="194">
        <v>43</v>
      </c>
      <c r="K123" s="194">
        <v>0.92</v>
      </c>
      <c r="L123" s="194">
        <v>0.95699999999999996</v>
      </c>
      <c r="M123" s="194">
        <v>23</v>
      </c>
      <c r="N123" s="194">
        <v>0.90600000000000003</v>
      </c>
      <c r="O123" s="194">
        <v>0.872</v>
      </c>
      <c r="P123" s="194">
        <v>47</v>
      </c>
      <c r="Q123" s="194">
        <v>0.878</v>
      </c>
      <c r="R123" s="194">
        <v>0.91500000000000004</v>
      </c>
      <c r="S123" s="194">
        <v>47</v>
      </c>
      <c r="T123" s="194">
        <v>0.88400000000000001</v>
      </c>
      <c r="U123" s="194">
        <v>0.85199999999999998</v>
      </c>
      <c r="V123" s="194">
        <v>54</v>
      </c>
      <c r="W123" s="194">
        <v>0.878</v>
      </c>
      <c r="X123" s="194">
        <v>0.88900000000000001</v>
      </c>
      <c r="Y123" s="194">
        <v>45</v>
      </c>
      <c r="Z123" s="194">
        <v>0.90400000000000003</v>
      </c>
      <c r="AA123" s="194">
        <v>0.90600000000000003</v>
      </c>
      <c r="AB123" s="194">
        <v>32</v>
      </c>
      <c r="AC123" s="194">
        <v>0.92300000000000004</v>
      </c>
      <c r="AD123" s="194">
        <v>0.91700000000000004</v>
      </c>
      <c r="AE123" s="194">
        <v>48</v>
      </c>
      <c r="AF123" s="194">
        <v>0.92700000000000005</v>
      </c>
      <c r="AG123" s="194">
        <v>0.94</v>
      </c>
      <c r="AH123" s="194">
        <v>50</v>
      </c>
      <c r="AI123" s="194">
        <v>0.93300000000000005</v>
      </c>
      <c r="AJ123" s="194">
        <v>0.92300000000000004</v>
      </c>
      <c r="AK123" s="194">
        <v>39</v>
      </c>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row>
    <row r="124" spans="1:61" x14ac:dyDescent="0.3">
      <c r="A124" s="193"/>
      <c r="B124" s="194"/>
      <c r="C124" s="194"/>
      <c r="D124" s="194"/>
      <c r="E124" s="194"/>
      <c r="F124" s="194"/>
      <c r="G124" s="194"/>
      <c r="H124" s="194"/>
      <c r="I124" s="194"/>
      <c r="J124" s="194"/>
      <c r="K124" s="194"/>
      <c r="L124" s="194"/>
      <c r="M124" s="194"/>
      <c r="N124" s="194"/>
      <c r="O124" s="194"/>
      <c r="P124" s="194"/>
      <c r="Q124" s="194"/>
      <c r="R124" s="194"/>
      <c r="S124" s="194"/>
      <c r="T124" s="194"/>
      <c r="U124" s="194"/>
      <c r="V124" s="194"/>
      <c r="W124" s="194"/>
      <c r="X124" s="194"/>
      <c r="Y124" s="194"/>
      <c r="Z124" s="194"/>
      <c r="AA124" s="194"/>
      <c r="AB124" s="194"/>
      <c r="AC124" s="194"/>
      <c r="AD124" s="194"/>
      <c r="AE124" s="194"/>
      <c r="AF124" s="194"/>
      <c r="AG124" s="194"/>
      <c r="AH124" s="194"/>
      <c r="AI124" s="194"/>
      <c r="AJ124" s="194"/>
      <c r="AK124" s="194"/>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6A75B-499E-47B4-A7B2-F848F1E74278}">
  <sheetPr>
    <tabColor theme="9" tint="0.79998168889431442"/>
  </sheetPr>
  <dimension ref="A1:BI124"/>
  <sheetViews>
    <sheetView zoomScaleNormal="100" workbookViewId="0">
      <pane xSplit="1" ySplit="1" topLeftCell="B2" activePane="bottomRight" state="frozen"/>
      <selection pane="topRight" activeCell="B1" sqref="B1"/>
      <selection pane="bottomLeft" activeCell="A2" sqref="A2"/>
      <selection pane="bottomRight" sqref="A1:V123"/>
    </sheetView>
  </sheetViews>
  <sheetFormatPr defaultRowHeight="14.4" x14ac:dyDescent="0.3"/>
  <cols>
    <col min="2" max="5" width="9.109375" style="120"/>
    <col min="10" max="10" width="11.44140625" customWidth="1"/>
    <col min="13" max="13" width="10.5546875" customWidth="1"/>
    <col min="16" max="16" width="10.6640625" customWidth="1"/>
    <col min="19" max="19" width="11.5546875" customWidth="1"/>
    <col min="22" max="22" width="11" customWidth="1"/>
    <col min="25" max="25" width="10.6640625" customWidth="1"/>
    <col min="28" max="28" width="11.88671875" customWidth="1"/>
    <col min="31" max="31" width="11.5546875" customWidth="1"/>
    <col min="34" max="34" width="11.109375" customWidth="1"/>
    <col min="37" max="37" width="11" customWidth="1"/>
  </cols>
  <sheetData>
    <row r="1" spans="1:61" x14ac:dyDescent="0.3">
      <c r="A1" s="193" t="s">
        <v>259</v>
      </c>
      <c r="B1" s="193" t="s">
        <v>138</v>
      </c>
      <c r="C1" s="193" t="s">
        <v>125</v>
      </c>
      <c r="D1" s="193" t="s">
        <v>112</v>
      </c>
      <c r="E1" s="193" t="s">
        <v>139</v>
      </c>
      <c r="F1" s="193" t="s">
        <v>126</v>
      </c>
      <c r="G1" s="193" t="s">
        <v>113</v>
      </c>
      <c r="H1" s="193" t="s">
        <v>140</v>
      </c>
      <c r="I1" s="193" t="s">
        <v>127</v>
      </c>
      <c r="J1" s="193" t="s">
        <v>114</v>
      </c>
      <c r="K1" s="193" t="s">
        <v>141</v>
      </c>
      <c r="L1" s="193" t="s">
        <v>128</v>
      </c>
      <c r="M1" s="193" t="s">
        <v>115</v>
      </c>
      <c r="N1" s="193" t="s">
        <v>142</v>
      </c>
      <c r="O1" s="193" t="s">
        <v>129</v>
      </c>
      <c r="P1" s="193" t="s">
        <v>116</v>
      </c>
      <c r="Q1" s="193" t="s">
        <v>143</v>
      </c>
      <c r="R1" s="193" t="s">
        <v>130</v>
      </c>
      <c r="S1" s="193" t="s">
        <v>117</v>
      </c>
      <c r="T1" s="193" t="s">
        <v>144</v>
      </c>
      <c r="U1" s="193" t="s">
        <v>131</v>
      </c>
      <c r="V1" s="193" t="s">
        <v>118</v>
      </c>
      <c r="W1" s="193"/>
      <c r="X1" s="193"/>
      <c r="Y1" s="193"/>
      <c r="Z1" s="193"/>
      <c r="AA1" s="193"/>
      <c r="AB1" s="193"/>
      <c r="AC1" s="193"/>
      <c r="AD1" s="193"/>
      <c r="AE1" s="193"/>
      <c r="AF1" s="193"/>
      <c r="AG1" s="193"/>
      <c r="AH1" s="193"/>
      <c r="AI1" s="193"/>
      <c r="AJ1" s="193"/>
      <c r="AK1" s="193"/>
      <c r="AL1" s="55"/>
      <c r="AM1" s="55"/>
      <c r="AN1" s="55"/>
      <c r="AO1" s="55"/>
      <c r="AP1" s="55"/>
      <c r="AQ1" s="55"/>
      <c r="AR1" s="55"/>
      <c r="AS1" s="55"/>
      <c r="AT1" s="55"/>
      <c r="AU1" s="55"/>
      <c r="AV1" s="55"/>
      <c r="AW1" s="55"/>
      <c r="AX1" s="55"/>
      <c r="AY1" s="55"/>
      <c r="AZ1" s="55"/>
      <c r="BA1" s="55"/>
      <c r="BB1" s="55"/>
      <c r="BC1" s="55"/>
      <c r="BD1" s="55"/>
      <c r="BE1" s="55"/>
      <c r="BF1" s="55"/>
      <c r="BG1" s="55"/>
      <c r="BH1" s="55"/>
      <c r="BI1" s="55"/>
    </row>
    <row r="2" spans="1:61" x14ac:dyDescent="0.3">
      <c r="A2" s="193" t="s">
        <v>685</v>
      </c>
      <c r="B2" s="194">
        <v>0.435</v>
      </c>
      <c r="C2" s="194">
        <v>0.435</v>
      </c>
      <c r="D2" s="194">
        <v>2237</v>
      </c>
      <c r="E2" s="194">
        <v>0.43099999999999999</v>
      </c>
      <c r="F2" s="194">
        <v>0.435</v>
      </c>
      <c r="G2" s="194">
        <v>2199</v>
      </c>
      <c r="H2" s="194">
        <v>0.42899999999999999</v>
      </c>
      <c r="I2" s="194">
        <v>0.42399999999999999</v>
      </c>
      <c r="J2" s="194">
        <v>2269</v>
      </c>
      <c r="K2" s="194">
        <v>0.42399999999999999</v>
      </c>
      <c r="L2" s="194">
        <v>0.42699999999999999</v>
      </c>
      <c r="M2" s="194">
        <v>2122</v>
      </c>
      <c r="N2" s="194">
        <v>0.42099999999999999</v>
      </c>
      <c r="O2" s="194">
        <v>0.42199999999999999</v>
      </c>
      <c r="P2" s="194">
        <v>2097</v>
      </c>
      <c r="Q2" s="194">
        <v>0.42299999999999999</v>
      </c>
      <c r="R2" s="194">
        <v>0.41599999999999998</v>
      </c>
      <c r="S2" s="194">
        <v>2239</v>
      </c>
      <c r="T2" s="194">
        <v>0.42399999999999999</v>
      </c>
      <c r="U2" s="194">
        <v>0.433</v>
      </c>
      <c r="V2" s="194">
        <v>2172</v>
      </c>
      <c r="W2" s="194"/>
      <c r="X2" s="194"/>
      <c r="Y2" s="194"/>
      <c r="Z2" s="194"/>
      <c r="AA2" s="194"/>
      <c r="AB2" s="194"/>
      <c r="AC2" s="194"/>
      <c r="AD2" s="194"/>
      <c r="AE2" s="194"/>
      <c r="AF2" s="194"/>
      <c r="AG2" s="194"/>
      <c r="AH2" s="194"/>
      <c r="AI2" s="194"/>
      <c r="AJ2" s="194"/>
      <c r="AK2" s="194"/>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row>
    <row r="3" spans="1:61" x14ac:dyDescent="0.3">
      <c r="A3" s="193" t="s">
        <v>402</v>
      </c>
      <c r="B3" s="194">
        <v>0.34799999999999998</v>
      </c>
      <c r="C3" s="194">
        <v>0.34</v>
      </c>
      <c r="D3" s="194">
        <v>47</v>
      </c>
      <c r="E3" s="194">
        <v>0.32800000000000001</v>
      </c>
      <c r="F3" s="194">
        <v>0.35699999999999998</v>
      </c>
      <c r="G3" s="194">
        <v>42</v>
      </c>
      <c r="H3" s="194">
        <v>0.30399999999999999</v>
      </c>
      <c r="I3" s="194">
        <v>0.28199999999999997</v>
      </c>
      <c r="J3" s="194">
        <v>39</v>
      </c>
      <c r="K3" s="194">
        <v>0.30199999999999999</v>
      </c>
      <c r="L3" s="194">
        <v>0.25800000000000001</v>
      </c>
      <c r="M3" s="194">
        <v>31</v>
      </c>
      <c r="N3" s="194">
        <v>0.30599999999999999</v>
      </c>
      <c r="O3" s="194">
        <v>0.33900000000000002</v>
      </c>
      <c r="P3" s="194">
        <v>56</v>
      </c>
      <c r="Q3" s="194">
        <v>0.29099999999999998</v>
      </c>
      <c r="R3" s="194">
        <v>0.29399999999999998</v>
      </c>
      <c r="S3" s="194">
        <v>34</v>
      </c>
      <c r="T3" s="194">
        <v>0.23400000000000001</v>
      </c>
      <c r="U3" s="194">
        <v>7.6999999999999999E-2</v>
      </c>
      <c r="V3" s="194">
        <v>13</v>
      </c>
      <c r="W3" s="194"/>
      <c r="X3" s="194"/>
      <c r="Y3" s="194"/>
      <c r="Z3" s="194"/>
      <c r="AA3" s="194"/>
      <c r="AB3" s="194"/>
      <c r="AC3" s="194"/>
      <c r="AD3" s="194"/>
      <c r="AE3" s="194"/>
      <c r="AF3" s="194"/>
      <c r="AG3" s="194"/>
      <c r="AH3" s="194"/>
      <c r="AI3" s="194"/>
      <c r="AJ3" s="194"/>
      <c r="AK3" s="194"/>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row>
    <row r="4" spans="1:61" x14ac:dyDescent="0.3">
      <c r="A4" s="193" t="s">
        <v>472</v>
      </c>
      <c r="B4" s="194">
        <v>0.443</v>
      </c>
      <c r="C4" s="194">
        <v>0.44700000000000001</v>
      </c>
      <c r="D4" s="194">
        <v>47</v>
      </c>
      <c r="E4" s="194">
        <v>0.441</v>
      </c>
      <c r="F4" s="194">
        <v>0.439</v>
      </c>
      <c r="G4" s="194">
        <v>41</v>
      </c>
      <c r="H4" s="194">
        <v>0.372</v>
      </c>
      <c r="I4" s="194">
        <v>0.436</v>
      </c>
      <c r="J4" s="194">
        <v>39</v>
      </c>
      <c r="K4" s="194">
        <v>0.318</v>
      </c>
      <c r="L4" s="194">
        <v>0.21199999999999999</v>
      </c>
      <c r="M4" s="194">
        <v>33</v>
      </c>
      <c r="N4" s="194">
        <v>0.32700000000000001</v>
      </c>
      <c r="O4" s="194">
        <v>0.28599999999999998</v>
      </c>
      <c r="P4" s="194">
        <v>35</v>
      </c>
      <c r="Q4" s="194">
        <v>0.36399999999999999</v>
      </c>
      <c r="R4" s="194">
        <v>0.47199999999999998</v>
      </c>
      <c r="S4" s="194">
        <v>36</v>
      </c>
      <c r="T4" s="194">
        <v>0.40300000000000002</v>
      </c>
      <c r="U4" s="194">
        <v>0.33300000000000002</v>
      </c>
      <c r="V4" s="194">
        <v>36</v>
      </c>
      <c r="W4" s="194"/>
      <c r="X4" s="194"/>
      <c r="Y4" s="194"/>
      <c r="Z4" s="194"/>
      <c r="AA4" s="194"/>
      <c r="AB4" s="194"/>
      <c r="AC4" s="194"/>
      <c r="AD4" s="194"/>
      <c r="AE4" s="194"/>
      <c r="AF4" s="194"/>
      <c r="AG4" s="194"/>
      <c r="AH4" s="194"/>
      <c r="AI4" s="194"/>
      <c r="AJ4" s="194"/>
      <c r="AK4" s="194"/>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row>
    <row r="5" spans="1:61" x14ac:dyDescent="0.3">
      <c r="A5" s="193" t="s">
        <v>524</v>
      </c>
      <c r="B5" s="194">
        <v>0.153</v>
      </c>
      <c r="C5" s="194">
        <v>0.14699999999999999</v>
      </c>
      <c r="D5" s="194">
        <v>34</v>
      </c>
      <c r="E5" s="194">
        <v>0.20699999999999999</v>
      </c>
      <c r="F5" s="194">
        <v>0.16</v>
      </c>
      <c r="G5" s="194">
        <v>25</v>
      </c>
      <c r="H5" s="194">
        <v>0.29499999999999998</v>
      </c>
      <c r="I5" s="194">
        <v>0.34799999999999998</v>
      </c>
      <c r="J5" s="194">
        <v>23</v>
      </c>
      <c r="K5" s="194">
        <v>0.32</v>
      </c>
      <c r="L5" s="194">
        <v>0.36699999999999999</v>
      </c>
      <c r="M5" s="194">
        <v>30</v>
      </c>
      <c r="N5" s="194">
        <v>0.38900000000000001</v>
      </c>
      <c r="O5" s="194">
        <v>0.22700000000000001</v>
      </c>
      <c r="P5" s="194">
        <v>22</v>
      </c>
      <c r="Q5" s="194">
        <v>0.38200000000000001</v>
      </c>
      <c r="R5" s="194">
        <v>0.6</v>
      </c>
      <c r="S5" s="194">
        <v>20</v>
      </c>
      <c r="T5" s="194">
        <v>0.45700000000000002</v>
      </c>
      <c r="U5" s="194">
        <v>0.34599999999999997</v>
      </c>
      <c r="V5" s="194">
        <v>26</v>
      </c>
      <c r="W5" s="194"/>
      <c r="X5" s="194"/>
      <c r="Y5" s="194"/>
      <c r="Z5" s="194"/>
      <c r="AA5" s="194"/>
      <c r="AB5" s="194"/>
      <c r="AC5" s="194"/>
      <c r="AD5" s="194"/>
      <c r="AE5" s="194"/>
      <c r="AF5" s="194"/>
      <c r="AG5" s="194"/>
      <c r="AH5" s="194"/>
      <c r="AI5" s="194"/>
      <c r="AJ5" s="194"/>
      <c r="AK5" s="194"/>
      <c r="AL5" s="140"/>
      <c r="AM5" s="140"/>
      <c r="AN5" s="140"/>
      <c r="AO5" s="140"/>
      <c r="AP5" s="140"/>
      <c r="AQ5" s="140"/>
      <c r="AR5" s="140"/>
      <c r="AS5" s="140"/>
      <c r="AT5" s="140"/>
      <c r="AU5" s="140"/>
      <c r="AV5" s="140"/>
      <c r="AW5" s="140"/>
      <c r="AX5" s="140"/>
      <c r="AY5" s="140"/>
      <c r="AZ5" s="140"/>
      <c r="BA5" s="140"/>
      <c r="BB5" s="140"/>
      <c r="BC5" s="140"/>
      <c r="BD5" s="140"/>
      <c r="BE5" s="140"/>
      <c r="BF5" s="140"/>
      <c r="BG5" s="140"/>
      <c r="BH5" s="140"/>
      <c r="BI5" s="140"/>
    </row>
    <row r="6" spans="1:61" x14ac:dyDescent="0.3">
      <c r="A6" s="193" t="s">
        <v>378</v>
      </c>
      <c r="B6" s="194">
        <v>0.23499999999999999</v>
      </c>
      <c r="C6" s="194">
        <v>0.4</v>
      </c>
      <c r="D6" s="194">
        <v>5</v>
      </c>
      <c r="E6" s="194">
        <v>0.154</v>
      </c>
      <c r="F6" s="194">
        <v>0.16700000000000001</v>
      </c>
      <c r="G6" s="194">
        <v>12</v>
      </c>
      <c r="H6" s="194">
        <v>0.14799999999999999</v>
      </c>
      <c r="I6" s="194">
        <v>0</v>
      </c>
      <c r="J6" s="194">
        <v>9</v>
      </c>
      <c r="K6" s="194">
        <v>0.15</v>
      </c>
      <c r="L6" s="194">
        <v>0.33300000000000002</v>
      </c>
      <c r="M6" s="194">
        <v>6</v>
      </c>
      <c r="N6" s="194">
        <v>0.28599999999999998</v>
      </c>
      <c r="O6" s="194">
        <v>0.2</v>
      </c>
      <c r="P6" s="194">
        <v>5</v>
      </c>
      <c r="Q6" s="194">
        <v>0.17599999999999999</v>
      </c>
      <c r="R6" s="194">
        <v>0.33300000000000002</v>
      </c>
      <c r="S6" s="194">
        <v>3</v>
      </c>
      <c r="T6" s="194">
        <v>0.16700000000000001</v>
      </c>
      <c r="U6" s="194">
        <v>0.111</v>
      </c>
      <c r="V6" s="194">
        <v>9</v>
      </c>
      <c r="W6" s="194"/>
      <c r="X6" s="194"/>
      <c r="Y6" s="194"/>
      <c r="Z6" s="194"/>
      <c r="AA6" s="194"/>
      <c r="AB6" s="194"/>
      <c r="AC6" s="194"/>
      <c r="AD6" s="194"/>
      <c r="AE6" s="194"/>
      <c r="AF6" s="194"/>
      <c r="AG6" s="194"/>
      <c r="AH6" s="194"/>
      <c r="AI6" s="194"/>
      <c r="AJ6" s="194"/>
      <c r="AK6" s="194"/>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row>
    <row r="7" spans="1:61" x14ac:dyDescent="0.3">
      <c r="A7" s="193" t="s">
        <v>281</v>
      </c>
      <c r="B7" s="194">
        <v>0.28599999999999998</v>
      </c>
      <c r="C7" s="194">
        <v>0.36399999999999999</v>
      </c>
      <c r="D7" s="194">
        <v>11</v>
      </c>
      <c r="E7" s="194">
        <v>0.41299999999999998</v>
      </c>
      <c r="F7" s="194">
        <v>0.2</v>
      </c>
      <c r="G7" s="194">
        <v>10</v>
      </c>
      <c r="H7" s="194">
        <v>0.43099999999999999</v>
      </c>
      <c r="I7" s="194">
        <v>0.52</v>
      </c>
      <c r="J7" s="194">
        <v>25</v>
      </c>
      <c r="K7" s="194">
        <v>0.46300000000000002</v>
      </c>
      <c r="L7" s="194">
        <v>0.435</v>
      </c>
      <c r="M7" s="194">
        <v>23</v>
      </c>
      <c r="N7" s="194">
        <v>0.34200000000000003</v>
      </c>
      <c r="O7" s="194">
        <v>0.33300000000000002</v>
      </c>
      <c r="P7" s="194">
        <v>6</v>
      </c>
      <c r="Q7" s="194">
        <v>0.314</v>
      </c>
      <c r="R7" s="194">
        <v>0.111</v>
      </c>
      <c r="S7" s="194">
        <v>9</v>
      </c>
      <c r="T7" s="194">
        <v>0.31</v>
      </c>
      <c r="U7" s="194">
        <v>0.4</v>
      </c>
      <c r="V7" s="194">
        <v>20</v>
      </c>
      <c r="W7" s="194"/>
      <c r="X7" s="194"/>
      <c r="Y7" s="194"/>
      <c r="Z7" s="194"/>
      <c r="AA7" s="194"/>
      <c r="AB7" s="194"/>
      <c r="AC7" s="194"/>
      <c r="AD7" s="194"/>
      <c r="AE7" s="194"/>
      <c r="AF7" s="194"/>
      <c r="AG7" s="194"/>
      <c r="AH7" s="194"/>
      <c r="AI7" s="194"/>
      <c r="AJ7" s="194"/>
      <c r="AK7" s="194"/>
      <c r="AL7" s="140"/>
      <c r="AM7" s="140"/>
      <c r="AN7" s="140"/>
      <c r="AO7" s="140"/>
      <c r="AP7" s="140"/>
      <c r="AQ7" s="140"/>
      <c r="AR7" s="140"/>
      <c r="AS7" s="140"/>
      <c r="AT7" s="140"/>
      <c r="AU7" s="140"/>
      <c r="AV7" s="140"/>
      <c r="AW7" s="140"/>
      <c r="AX7" s="140"/>
      <c r="AY7" s="140"/>
      <c r="AZ7" s="140"/>
      <c r="BA7" s="140"/>
      <c r="BB7" s="140"/>
      <c r="BC7" s="140"/>
      <c r="BD7" s="140"/>
      <c r="BE7" s="140"/>
      <c r="BF7" s="140"/>
      <c r="BG7" s="140"/>
      <c r="BH7" s="140"/>
      <c r="BI7" s="140"/>
    </row>
    <row r="8" spans="1:61" x14ac:dyDescent="0.3">
      <c r="A8" s="193" t="s">
        <v>398</v>
      </c>
      <c r="B8" s="194">
        <v>0.58099999999999996</v>
      </c>
      <c r="C8" s="194">
        <v>0.5</v>
      </c>
      <c r="D8" s="194">
        <v>18</v>
      </c>
      <c r="E8" s="194">
        <v>0.51</v>
      </c>
      <c r="F8" s="194">
        <v>0.69199999999999995</v>
      </c>
      <c r="G8" s="194">
        <v>13</v>
      </c>
      <c r="H8" s="194">
        <v>0.47399999999999998</v>
      </c>
      <c r="I8" s="194">
        <v>0.38900000000000001</v>
      </c>
      <c r="J8" s="194">
        <v>18</v>
      </c>
      <c r="K8" s="194">
        <v>0.371</v>
      </c>
      <c r="L8" s="194">
        <v>0.28599999999999998</v>
      </c>
      <c r="M8" s="194">
        <v>7</v>
      </c>
      <c r="N8" s="194">
        <v>0.26900000000000002</v>
      </c>
      <c r="O8" s="194">
        <v>0.4</v>
      </c>
      <c r="P8" s="194">
        <v>10</v>
      </c>
      <c r="Q8" s="194">
        <v>0.29399999999999998</v>
      </c>
      <c r="R8" s="194">
        <v>0.111</v>
      </c>
      <c r="S8" s="194">
        <v>9</v>
      </c>
      <c r="T8" s="194">
        <v>0.25</v>
      </c>
      <c r="U8" s="194">
        <v>0.33300000000000002</v>
      </c>
      <c r="V8" s="194">
        <v>15</v>
      </c>
      <c r="W8" s="194"/>
      <c r="X8" s="194"/>
      <c r="Y8" s="194"/>
      <c r="Z8" s="194"/>
      <c r="AA8" s="194"/>
      <c r="AB8" s="194"/>
      <c r="AC8" s="194"/>
      <c r="AD8" s="194"/>
      <c r="AE8" s="194"/>
      <c r="AF8" s="194"/>
      <c r="AG8" s="194"/>
      <c r="AH8" s="194"/>
      <c r="AI8" s="194"/>
      <c r="AJ8" s="194"/>
      <c r="AK8" s="194"/>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row>
    <row r="9" spans="1:61" x14ac:dyDescent="0.3">
      <c r="A9" s="193" t="s">
        <v>452</v>
      </c>
      <c r="B9" s="194">
        <v>0.4</v>
      </c>
      <c r="C9" s="194">
        <v>0.41199999999999998</v>
      </c>
      <c r="D9" s="194">
        <v>17</v>
      </c>
      <c r="E9" s="194">
        <v>0.38100000000000001</v>
      </c>
      <c r="F9" s="194">
        <v>0.38500000000000001</v>
      </c>
      <c r="G9" s="194">
        <v>13</v>
      </c>
      <c r="H9" s="194">
        <v>0.38100000000000001</v>
      </c>
      <c r="I9" s="194">
        <v>0.33300000000000002</v>
      </c>
      <c r="J9" s="194">
        <v>12</v>
      </c>
      <c r="K9" s="194">
        <v>0.33300000000000002</v>
      </c>
      <c r="L9" s="194">
        <v>0.41199999999999998</v>
      </c>
      <c r="M9" s="194">
        <v>17</v>
      </c>
      <c r="N9" s="194">
        <v>0.44900000000000001</v>
      </c>
      <c r="O9" s="194">
        <v>0.2</v>
      </c>
      <c r="P9" s="194">
        <v>10</v>
      </c>
      <c r="Q9" s="194">
        <v>0.438</v>
      </c>
      <c r="R9" s="194">
        <v>0.59099999999999997</v>
      </c>
      <c r="S9" s="194">
        <v>22</v>
      </c>
      <c r="T9" s="194">
        <v>0.5</v>
      </c>
      <c r="U9" s="194">
        <v>0.375</v>
      </c>
      <c r="V9" s="194">
        <v>16</v>
      </c>
      <c r="W9" s="194"/>
      <c r="X9" s="194"/>
      <c r="Y9" s="194"/>
      <c r="Z9" s="194"/>
      <c r="AA9" s="194"/>
      <c r="AB9" s="194"/>
      <c r="AC9" s="194"/>
      <c r="AD9" s="194"/>
      <c r="AE9" s="194"/>
      <c r="AF9" s="194"/>
      <c r="AG9" s="194"/>
      <c r="AH9" s="194"/>
      <c r="AI9" s="194"/>
      <c r="AJ9" s="194"/>
      <c r="AK9" s="194"/>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row>
    <row r="10" spans="1:61" x14ac:dyDescent="0.3">
      <c r="A10" s="193" t="s">
        <v>520</v>
      </c>
      <c r="B10" s="194">
        <v>0.33300000000000002</v>
      </c>
      <c r="C10" s="194">
        <v>0</v>
      </c>
      <c r="D10" s="194">
        <v>2</v>
      </c>
      <c r="E10" s="194">
        <v>0.214</v>
      </c>
      <c r="F10" s="194">
        <v>0.42899999999999999</v>
      </c>
      <c r="G10" s="194">
        <v>7</v>
      </c>
      <c r="H10" s="194">
        <v>0.23100000000000001</v>
      </c>
      <c r="I10" s="194">
        <v>0</v>
      </c>
      <c r="J10" s="194">
        <v>5</v>
      </c>
      <c r="K10" s="194">
        <v>0</v>
      </c>
      <c r="L10" s="194">
        <v>0</v>
      </c>
      <c r="M10" s="194">
        <v>1</v>
      </c>
      <c r="N10" s="194">
        <v>0.16700000000000001</v>
      </c>
      <c r="O10" s="194">
        <v>0</v>
      </c>
      <c r="P10" s="194">
        <v>4</v>
      </c>
      <c r="Q10" s="194">
        <v>0.25</v>
      </c>
      <c r="R10" s="194">
        <v>1</v>
      </c>
      <c r="S10" s="194">
        <v>1</v>
      </c>
      <c r="T10" s="194">
        <v>0.5</v>
      </c>
      <c r="U10" s="194">
        <v>0.33300000000000002</v>
      </c>
      <c r="V10" s="194">
        <v>3</v>
      </c>
      <c r="W10" s="194"/>
      <c r="X10" s="194"/>
      <c r="Y10" s="194"/>
      <c r="Z10" s="194"/>
      <c r="AA10" s="194"/>
      <c r="AB10" s="194"/>
      <c r="AC10" s="194"/>
      <c r="AD10" s="194"/>
      <c r="AE10" s="194"/>
      <c r="AF10" s="194"/>
      <c r="AG10" s="194"/>
      <c r="AH10" s="194"/>
      <c r="AI10" s="194"/>
      <c r="AJ10" s="194"/>
      <c r="AK10" s="194"/>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row>
    <row r="11" spans="1:61" x14ac:dyDescent="0.3">
      <c r="A11" s="193" t="s">
        <v>510</v>
      </c>
      <c r="B11" s="194">
        <v>0.25900000000000001</v>
      </c>
      <c r="C11" s="194">
        <v>0.25</v>
      </c>
      <c r="D11" s="194">
        <v>12</v>
      </c>
      <c r="E11" s="194">
        <v>0.316</v>
      </c>
      <c r="F11" s="194">
        <v>0.26700000000000002</v>
      </c>
      <c r="G11" s="194">
        <v>15</v>
      </c>
      <c r="H11" s="194">
        <v>0.27800000000000002</v>
      </c>
      <c r="I11" s="194">
        <v>0.45500000000000002</v>
      </c>
      <c r="J11" s="194">
        <v>11</v>
      </c>
      <c r="K11" s="194">
        <v>0.33300000000000002</v>
      </c>
      <c r="L11" s="194">
        <v>0.1</v>
      </c>
      <c r="M11" s="194">
        <v>10</v>
      </c>
      <c r="N11" s="194">
        <v>0.28100000000000003</v>
      </c>
      <c r="O11" s="194">
        <v>0.4</v>
      </c>
      <c r="P11" s="194">
        <v>15</v>
      </c>
      <c r="Q11" s="194">
        <v>0.32400000000000001</v>
      </c>
      <c r="R11" s="194">
        <v>0.28599999999999998</v>
      </c>
      <c r="S11" s="194">
        <v>7</v>
      </c>
      <c r="T11" s="194">
        <v>0.26300000000000001</v>
      </c>
      <c r="U11" s="194">
        <v>0.25</v>
      </c>
      <c r="V11" s="194">
        <v>12</v>
      </c>
      <c r="W11" s="194"/>
      <c r="X11" s="194"/>
      <c r="Y11" s="194"/>
      <c r="Z11" s="194"/>
      <c r="AA11" s="194"/>
      <c r="AB11" s="194"/>
      <c r="AC11" s="194"/>
      <c r="AD11" s="194"/>
      <c r="AE11" s="194"/>
      <c r="AF11" s="194"/>
      <c r="AG11" s="194"/>
      <c r="AH11" s="194"/>
      <c r="AI11" s="194"/>
      <c r="AJ11" s="194"/>
      <c r="AK11" s="194"/>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row>
    <row r="12" spans="1:61" x14ac:dyDescent="0.3">
      <c r="A12" s="193" t="s">
        <v>296</v>
      </c>
      <c r="B12" s="194">
        <v>0.38500000000000001</v>
      </c>
      <c r="C12" s="194">
        <v>0.27300000000000002</v>
      </c>
      <c r="D12" s="194">
        <v>11</v>
      </c>
      <c r="E12" s="194">
        <v>0.4</v>
      </c>
      <c r="F12" s="194">
        <v>0.46700000000000003</v>
      </c>
      <c r="G12" s="194">
        <v>15</v>
      </c>
      <c r="H12" s="194">
        <v>0.53800000000000003</v>
      </c>
      <c r="I12" s="194">
        <v>0.42899999999999999</v>
      </c>
      <c r="J12" s="194">
        <v>14</v>
      </c>
      <c r="K12" s="194">
        <v>0.58299999999999996</v>
      </c>
      <c r="L12" s="194">
        <v>0.8</v>
      </c>
      <c r="M12" s="194">
        <v>10</v>
      </c>
      <c r="N12" s="194">
        <v>0.58499999999999996</v>
      </c>
      <c r="O12" s="194">
        <v>0.58299999999999996</v>
      </c>
      <c r="P12" s="194">
        <v>12</v>
      </c>
      <c r="Q12" s="194">
        <v>0.52500000000000002</v>
      </c>
      <c r="R12" s="194">
        <v>0.47399999999999998</v>
      </c>
      <c r="S12" s="194">
        <v>19</v>
      </c>
      <c r="T12" s="194">
        <v>0.5</v>
      </c>
      <c r="U12" s="194">
        <v>0.55600000000000005</v>
      </c>
      <c r="V12" s="194">
        <v>9</v>
      </c>
      <c r="W12" s="194"/>
      <c r="X12" s="194"/>
      <c r="Y12" s="194"/>
      <c r="Z12" s="194"/>
      <c r="AA12" s="194"/>
      <c r="AB12" s="194"/>
      <c r="AC12" s="194"/>
      <c r="AD12" s="194"/>
      <c r="AE12" s="194"/>
      <c r="AF12" s="194"/>
      <c r="AG12" s="194"/>
      <c r="AH12" s="194"/>
      <c r="AI12" s="194"/>
      <c r="AJ12" s="194"/>
      <c r="AK12" s="194"/>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row>
    <row r="13" spans="1:61" x14ac:dyDescent="0.3">
      <c r="A13" s="193" t="s">
        <v>406</v>
      </c>
      <c r="B13" s="194">
        <v>0.48399999999999999</v>
      </c>
      <c r="C13" s="194">
        <v>0.48899999999999999</v>
      </c>
      <c r="D13" s="194">
        <v>47</v>
      </c>
      <c r="E13" s="194">
        <v>0.47</v>
      </c>
      <c r="F13" s="194">
        <v>0.47899999999999998</v>
      </c>
      <c r="G13" s="194">
        <v>48</v>
      </c>
      <c r="H13" s="194">
        <v>0.49099999999999999</v>
      </c>
      <c r="I13" s="194">
        <v>0.44400000000000001</v>
      </c>
      <c r="J13" s="194">
        <v>54</v>
      </c>
      <c r="K13" s="194">
        <v>0.48599999999999999</v>
      </c>
      <c r="L13" s="194">
        <v>0.54400000000000004</v>
      </c>
      <c r="M13" s="194">
        <v>57</v>
      </c>
      <c r="N13" s="194">
        <v>0.5</v>
      </c>
      <c r="O13" s="194">
        <v>0.45700000000000002</v>
      </c>
      <c r="P13" s="194">
        <v>35</v>
      </c>
      <c r="Q13" s="194">
        <v>0.51600000000000001</v>
      </c>
      <c r="R13" s="194">
        <v>0.47099999999999997</v>
      </c>
      <c r="S13" s="194">
        <v>34</v>
      </c>
      <c r="T13" s="194">
        <v>0.55400000000000005</v>
      </c>
      <c r="U13" s="194">
        <v>0.68200000000000005</v>
      </c>
      <c r="V13" s="194">
        <v>22</v>
      </c>
      <c r="W13" s="194"/>
      <c r="X13" s="194"/>
      <c r="Y13" s="194"/>
      <c r="Z13" s="194"/>
      <c r="AA13" s="194"/>
      <c r="AB13" s="194"/>
      <c r="AC13" s="194"/>
      <c r="AD13" s="194"/>
      <c r="AE13" s="194"/>
      <c r="AF13" s="194"/>
      <c r="AG13" s="194"/>
      <c r="AH13" s="194"/>
      <c r="AI13" s="194"/>
      <c r="AJ13" s="194"/>
      <c r="AK13" s="194"/>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row>
    <row r="14" spans="1:61" x14ac:dyDescent="0.3">
      <c r="A14" s="193" t="s">
        <v>450</v>
      </c>
      <c r="B14" s="194">
        <v>0.53200000000000003</v>
      </c>
      <c r="C14" s="194">
        <v>0.44400000000000001</v>
      </c>
      <c r="D14" s="194">
        <v>63</v>
      </c>
      <c r="E14" s="194">
        <v>0.52900000000000003</v>
      </c>
      <c r="F14" s="194">
        <v>0.623</v>
      </c>
      <c r="G14" s="194">
        <v>61</v>
      </c>
      <c r="H14" s="194">
        <v>0.53900000000000003</v>
      </c>
      <c r="I14" s="194">
        <v>0.52400000000000002</v>
      </c>
      <c r="J14" s="194">
        <v>63</v>
      </c>
      <c r="K14" s="194">
        <v>0.47199999999999998</v>
      </c>
      <c r="L14" s="194">
        <v>0.46300000000000002</v>
      </c>
      <c r="M14" s="194">
        <v>54</v>
      </c>
      <c r="N14" s="194">
        <v>0.42199999999999999</v>
      </c>
      <c r="O14" s="194">
        <v>0.42399999999999999</v>
      </c>
      <c r="P14" s="194">
        <v>59</v>
      </c>
      <c r="Q14" s="194">
        <v>0.441</v>
      </c>
      <c r="R14" s="194">
        <v>0.377</v>
      </c>
      <c r="S14" s="194">
        <v>53</v>
      </c>
      <c r="T14" s="194">
        <v>0.45200000000000001</v>
      </c>
      <c r="U14" s="194">
        <v>0.55000000000000004</v>
      </c>
      <c r="V14" s="194">
        <v>40</v>
      </c>
      <c r="W14" s="194"/>
      <c r="X14" s="194"/>
      <c r="Y14" s="194"/>
      <c r="Z14" s="194"/>
      <c r="AA14" s="194"/>
      <c r="AB14" s="194"/>
      <c r="AC14" s="194"/>
      <c r="AD14" s="194"/>
      <c r="AE14" s="194"/>
      <c r="AF14" s="194"/>
      <c r="AG14" s="194"/>
      <c r="AH14" s="194"/>
      <c r="AI14" s="194"/>
      <c r="AJ14" s="194"/>
      <c r="AK14" s="194"/>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row>
    <row r="15" spans="1:61" x14ac:dyDescent="0.3">
      <c r="A15" s="193" t="s">
        <v>420</v>
      </c>
      <c r="B15" s="194">
        <v>0.33300000000000002</v>
      </c>
      <c r="C15" s="194">
        <v>0.33300000000000002</v>
      </c>
      <c r="D15" s="194">
        <v>3</v>
      </c>
      <c r="E15" s="194">
        <v>0.16700000000000001</v>
      </c>
      <c r="F15" s="194"/>
      <c r="G15" s="194"/>
      <c r="H15" s="194">
        <v>0.16700000000000001</v>
      </c>
      <c r="I15" s="194">
        <v>0</v>
      </c>
      <c r="J15" s="194">
        <v>3</v>
      </c>
      <c r="K15" s="194">
        <v>0.14299999999999999</v>
      </c>
      <c r="L15" s="194">
        <v>0.33300000000000002</v>
      </c>
      <c r="M15" s="194">
        <v>3</v>
      </c>
      <c r="N15" s="194">
        <v>0.28599999999999998</v>
      </c>
      <c r="O15" s="194">
        <v>0</v>
      </c>
      <c r="P15" s="194">
        <v>1</v>
      </c>
      <c r="Q15" s="194">
        <v>0.33300000000000002</v>
      </c>
      <c r="R15" s="194">
        <v>0.33300000000000002</v>
      </c>
      <c r="S15" s="194">
        <v>3</v>
      </c>
      <c r="T15" s="194">
        <v>0.4</v>
      </c>
      <c r="U15" s="194">
        <v>0.5</v>
      </c>
      <c r="V15" s="194">
        <v>2</v>
      </c>
      <c r="W15" s="194"/>
      <c r="X15" s="194"/>
      <c r="Y15" s="194"/>
      <c r="Z15" s="194"/>
      <c r="AA15" s="194"/>
      <c r="AB15" s="194"/>
      <c r="AC15" s="194"/>
      <c r="AD15" s="194"/>
      <c r="AE15" s="194"/>
      <c r="AF15" s="194"/>
      <c r="AG15" s="194"/>
      <c r="AH15" s="194"/>
      <c r="AI15" s="194"/>
      <c r="AJ15" s="194"/>
      <c r="AK15" s="194"/>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row>
    <row r="16" spans="1:61" x14ac:dyDescent="0.3">
      <c r="A16" s="193" t="s">
        <v>494</v>
      </c>
      <c r="B16" s="194">
        <v>0.3</v>
      </c>
      <c r="C16" s="194">
        <v>0.5</v>
      </c>
      <c r="D16" s="194">
        <v>6</v>
      </c>
      <c r="E16" s="194">
        <v>0.375</v>
      </c>
      <c r="F16" s="194">
        <v>0</v>
      </c>
      <c r="G16" s="194">
        <v>4</v>
      </c>
      <c r="H16" s="194">
        <v>0.33300000000000002</v>
      </c>
      <c r="I16" s="194">
        <v>0.5</v>
      </c>
      <c r="J16" s="194">
        <v>6</v>
      </c>
      <c r="K16" s="194">
        <v>0.56299999999999994</v>
      </c>
      <c r="L16" s="194">
        <v>0.5</v>
      </c>
      <c r="M16" s="194">
        <v>2</v>
      </c>
      <c r="N16" s="194">
        <v>0.5</v>
      </c>
      <c r="O16" s="194">
        <v>0.625</v>
      </c>
      <c r="P16" s="194">
        <v>8</v>
      </c>
      <c r="Q16" s="194">
        <v>0.47399999999999998</v>
      </c>
      <c r="R16" s="194">
        <v>0.33300000000000002</v>
      </c>
      <c r="S16" s="194">
        <v>6</v>
      </c>
      <c r="T16" s="194">
        <v>0.36399999999999999</v>
      </c>
      <c r="U16" s="194">
        <v>0.4</v>
      </c>
      <c r="V16" s="194">
        <v>5</v>
      </c>
      <c r="W16" s="194"/>
      <c r="X16" s="194"/>
      <c r="Y16" s="194"/>
      <c r="Z16" s="194"/>
      <c r="AA16" s="194"/>
      <c r="AB16" s="194"/>
      <c r="AC16" s="194"/>
      <c r="AD16" s="194"/>
      <c r="AE16" s="194"/>
      <c r="AF16" s="194"/>
      <c r="AG16" s="194"/>
      <c r="AH16" s="194"/>
      <c r="AI16" s="194"/>
      <c r="AJ16" s="194"/>
      <c r="AK16" s="194"/>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row>
    <row r="17" spans="1:61" x14ac:dyDescent="0.3">
      <c r="A17" s="193" t="s">
        <v>386</v>
      </c>
      <c r="B17" s="194">
        <v>0.58799999999999997</v>
      </c>
      <c r="C17" s="194">
        <v>0.375</v>
      </c>
      <c r="D17" s="194">
        <v>8</v>
      </c>
      <c r="E17" s="194">
        <v>0.54200000000000004</v>
      </c>
      <c r="F17" s="194">
        <v>0.77800000000000002</v>
      </c>
      <c r="G17" s="194">
        <v>9</v>
      </c>
      <c r="H17" s="194">
        <v>0.61499999999999999</v>
      </c>
      <c r="I17" s="194">
        <v>0.42899999999999999</v>
      </c>
      <c r="J17" s="194">
        <v>7</v>
      </c>
      <c r="K17" s="194">
        <v>0.6</v>
      </c>
      <c r="L17" s="194">
        <v>0.6</v>
      </c>
      <c r="M17" s="194">
        <v>10</v>
      </c>
      <c r="N17" s="194">
        <v>0.63600000000000001</v>
      </c>
      <c r="O17" s="194">
        <v>0.69199999999999995</v>
      </c>
      <c r="P17" s="194">
        <v>13</v>
      </c>
      <c r="Q17" s="194">
        <v>0.67600000000000005</v>
      </c>
      <c r="R17" s="194">
        <v>0.6</v>
      </c>
      <c r="S17" s="194">
        <v>10</v>
      </c>
      <c r="T17" s="194">
        <v>0.66700000000000004</v>
      </c>
      <c r="U17" s="194">
        <v>0.72699999999999998</v>
      </c>
      <c r="V17" s="194">
        <v>11</v>
      </c>
      <c r="W17" s="194"/>
      <c r="X17" s="194"/>
      <c r="Y17" s="194"/>
      <c r="Z17" s="194"/>
      <c r="AA17" s="194"/>
      <c r="AB17" s="194"/>
      <c r="AC17" s="194"/>
      <c r="AD17" s="194"/>
      <c r="AE17" s="194"/>
      <c r="AF17" s="194"/>
      <c r="AG17" s="194"/>
      <c r="AH17" s="194"/>
      <c r="AI17" s="194"/>
      <c r="AJ17" s="194"/>
      <c r="AK17" s="194"/>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row>
    <row r="18" spans="1:61" x14ac:dyDescent="0.3">
      <c r="A18" s="193" t="s">
        <v>333</v>
      </c>
      <c r="B18" s="194">
        <v>0.28599999999999998</v>
      </c>
      <c r="C18" s="194">
        <v>0.33300000000000002</v>
      </c>
      <c r="D18" s="194">
        <v>12</v>
      </c>
      <c r="E18" s="194">
        <v>0.26700000000000002</v>
      </c>
      <c r="F18" s="194">
        <v>0.222</v>
      </c>
      <c r="G18" s="194">
        <v>9</v>
      </c>
      <c r="H18" s="194">
        <v>0.33300000000000002</v>
      </c>
      <c r="I18" s="194">
        <v>0.222</v>
      </c>
      <c r="J18" s="194">
        <v>9</v>
      </c>
      <c r="K18" s="194">
        <v>0.48299999999999998</v>
      </c>
      <c r="L18" s="194">
        <v>0.55600000000000005</v>
      </c>
      <c r="M18" s="194">
        <v>9</v>
      </c>
      <c r="N18" s="194">
        <v>0.53300000000000003</v>
      </c>
      <c r="O18" s="194">
        <v>0.63600000000000001</v>
      </c>
      <c r="P18" s="194">
        <v>11</v>
      </c>
      <c r="Q18" s="194">
        <v>0.52900000000000003</v>
      </c>
      <c r="R18" s="194">
        <v>0.4</v>
      </c>
      <c r="S18" s="194">
        <v>10</v>
      </c>
      <c r="T18" s="194">
        <v>0.47799999999999998</v>
      </c>
      <c r="U18" s="194">
        <v>0.53800000000000003</v>
      </c>
      <c r="V18" s="194">
        <v>13</v>
      </c>
      <c r="W18" s="194"/>
      <c r="X18" s="194"/>
      <c r="Y18" s="194"/>
      <c r="Z18" s="194"/>
      <c r="AA18" s="194"/>
      <c r="AB18" s="194"/>
      <c r="AC18" s="194"/>
      <c r="AD18" s="194"/>
      <c r="AE18" s="194"/>
      <c r="AF18" s="194"/>
      <c r="AG18" s="194"/>
      <c r="AH18" s="194"/>
      <c r="AI18" s="194"/>
      <c r="AJ18" s="194"/>
      <c r="AK18" s="194"/>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row>
    <row r="19" spans="1:61" x14ac:dyDescent="0.3">
      <c r="A19" s="193" t="s">
        <v>536</v>
      </c>
      <c r="B19" s="194">
        <v>0.25</v>
      </c>
      <c r="C19" s="194">
        <v>0.25</v>
      </c>
      <c r="D19" s="194">
        <v>4</v>
      </c>
      <c r="E19" s="194">
        <v>0.2</v>
      </c>
      <c r="F19" s="194">
        <v>0.25</v>
      </c>
      <c r="G19" s="194">
        <v>8</v>
      </c>
      <c r="H19" s="194">
        <v>0.23799999999999999</v>
      </c>
      <c r="I19" s="194">
        <v>0.125</v>
      </c>
      <c r="J19" s="194">
        <v>8</v>
      </c>
      <c r="K19" s="194">
        <v>0.15</v>
      </c>
      <c r="L19" s="194">
        <v>0.4</v>
      </c>
      <c r="M19" s="194">
        <v>5</v>
      </c>
      <c r="N19" s="194">
        <v>0.158</v>
      </c>
      <c r="O19" s="194">
        <v>0</v>
      </c>
      <c r="P19" s="194">
        <v>7</v>
      </c>
      <c r="Q19" s="194">
        <v>0.17399999999999999</v>
      </c>
      <c r="R19" s="194">
        <v>0.14299999999999999</v>
      </c>
      <c r="S19" s="194">
        <v>7</v>
      </c>
      <c r="T19" s="194">
        <v>0.25</v>
      </c>
      <c r="U19" s="194">
        <v>0.33300000000000002</v>
      </c>
      <c r="V19" s="194">
        <v>9</v>
      </c>
      <c r="W19" s="194"/>
      <c r="X19" s="194"/>
      <c r="Y19" s="194"/>
      <c r="Z19" s="194"/>
      <c r="AA19" s="194"/>
      <c r="AB19" s="194"/>
      <c r="AC19" s="194"/>
      <c r="AD19" s="194"/>
      <c r="AE19" s="194"/>
      <c r="AF19" s="194"/>
      <c r="AG19" s="194"/>
      <c r="AH19" s="194"/>
      <c r="AI19" s="194"/>
      <c r="AJ19" s="194"/>
      <c r="AK19" s="194"/>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row>
    <row r="20" spans="1:61" x14ac:dyDescent="0.3">
      <c r="A20" s="193" t="s">
        <v>544</v>
      </c>
      <c r="B20" s="194">
        <v>0.40899999999999997</v>
      </c>
      <c r="C20" s="194">
        <v>0.438</v>
      </c>
      <c r="D20" s="194">
        <v>16</v>
      </c>
      <c r="E20" s="194">
        <v>0.44400000000000001</v>
      </c>
      <c r="F20" s="194">
        <v>0.39300000000000002</v>
      </c>
      <c r="G20" s="194">
        <v>28</v>
      </c>
      <c r="H20" s="194">
        <v>0.44800000000000001</v>
      </c>
      <c r="I20" s="194">
        <v>0.52600000000000002</v>
      </c>
      <c r="J20" s="194">
        <v>19</v>
      </c>
      <c r="K20" s="194">
        <v>0.42899999999999999</v>
      </c>
      <c r="L20" s="194">
        <v>0.45</v>
      </c>
      <c r="M20" s="194">
        <v>20</v>
      </c>
      <c r="N20" s="194">
        <v>0.35899999999999999</v>
      </c>
      <c r="O20" s="194">
        <v>0.35499999999999998</v>
      </c>
      <c r="P20" s="194">
        <v>31</v>
      </c>
      <c r="Q20" s="194">
        <v>0.39300000000000002</v>
      </c>
      <c r="R20" s="194">
        <v>0.29599999999999999</v>
      </c>
      <c r="S20" s="194">
        <v>27</v>
      </c>
      <c r="T20" s="194">
        <v>0.41499999999999998</v>
      </c>
      <c r="U20" s="194">
        <v>0.53800000000000003</v>
      </c>
      <c r="V20" s="194">
        <v>26</v>
      </c>
      <c r="W20" s="194"/>
      <c r="X20" s="194"/>
      <c r="Y20" s="194"/>
      <c r="Z20" s="194"/>
      <c r="AA20" s="194"/>
      <c r="AB20" s="194"/>
      <c r="AC20" s="194"/>
      <c r="AD20" s="194"/>
      <c r="AE20" s="194"/>
      <c r="AF20" s="194"/>
      <c r="AG20" s="194"/>
      <c r="AH20" s="194"/>
      <c r="AI20" s="194"/>
      <c r="AJ20" s="194"/>
      <c r="AK20" s="194"/>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row>
    <row r="21" spans="1:61" x14ac:dyDescent="0.3">
      <c r="A21" s="193" t="s">
        <v>480</v>
      </c>
      <c r="B21" s="194">
        <v>0.36799999999999999</v>
      </c>
      <c r="C21" s="194">
        <v>0.26100000000000001</v>
      </c>
      <c r="D21" s="194">
        <v>23</v>
      </c>
      <c r="E21" s="194">
        <v>0.309</v>
      </c>
      <c r="F21" s="194">
        <v>0.53300000000000003</v>
      </c>
      <c r="G21" s="194">
        <v>15</v>
      </c>
      <c r="H21" s="194">
        <v>0.35299999999999998</v>
      </c>
      <c r="I21" s="194">
        <v>0.17599999999999999</v>
      </c>
      <c r="J21" s="194">
        <v>17</v>
      </c>
      <c r="K21" s="194">
        <v>0.33300000000000002</v>
      </c>
      <c r="L21" s="194">
        <v>0.36799999999999999</v>
      </c>
      <c r="M21" s="194">
        <v>19</v>
      </c>
      <c r="N21" s="194">
        <v>0.4</v>
      </c>
      <c r="O21" s="194">
        <v>0.40699999999999997</v>
      </c>
      <c r="P21" s="194">
        <v>27</v>
      </c>
      <c r="Q21" s="194">
        <v>0.38900000000000001</v>
      </c>
      <c r="R21" s="194">
        <v>0.41699999999999998</v>
      </c>
      <c r="S21" s="194">
        <v>24</v>
      </c>
      <c r="T21" s="194">
        <v>0.378</v>
      </c>
      <c r="U21" s="194">
        <v>0.33300000000000002</v>
      </c>
      <c r="V21" s="194">
        <v>21</v>
      </c>
      <c r="W21" s="194"/>
      <c r="X21" s="194"/>
      <c r="Y21" s="194"/>
      <c r="Z21" s="194"/>
      <c r="AA21" s="194"/>
      <c r="AB21" s="194"/>
      <c r="AC21" s="194"/>
      <c r="AD21" s="194"/>
      <c r="AE21" s="194"/>
      <c r="AF21" s="194"/>
      <c r="AG21" s="194"/>
      <c r="AH21" s="194"/>
      <c r="AI21" s="194"/>
      <c r="AJ21" s="194"/>
      <c r="AK21" s="194"/>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row>
    <row r="22" spans="1:61" x14ac:dyDescent="0.3">
      <c r="A22" s="193" t="s">
        <v>408</v>
      </c>
      <c r="B22" s="194">
        <v>0.25</v>
      </c>
      <c r="C22" s="194">
        <v>0.125</v>
      </c>
      <c r="D22" s="194">
        <v>8</v>
      </c>
      <c r="E22" s="194">
        <v>0.26100000000000001</v>
      </c>
      <c r="F22" s="194">
        <v>0.375</v>
      </c>
      <c r="G22" s="194">
        <v>8</v>
      </c>
      <c r="H22" s="194">
        <v>0.42099999999999999</v>
      </c>
      <c r="I22" s="194">
        <v>0.28599999999999998</v>
      </c>
      <c r="J22" s="194">
        <v>7</v>
      </c>
      <c r="K22" s="194">
        <v>0.52200000000000002</v>
      </c>
      <c r="L22" s="194">
        <v>0.75</v>
      </c>
      <c r="M22" s="194">
        <v>4</v>
      </c>
      <c r="N22" s="194">
        <v>0.59099999999999997</v>
      </c>
      <c r="O22" s="194">
        <v>0.58299999999999996</v>
      </c>
      <c r="P22" s="194">
        <v>12</v>
      </c>
      <c r="Q22" s="194">
        <v>0.6</v>
      </c>
      <c r="R22" s="194">
        <v>0.5</v>
      </c>
      <c r="S22" s="194">
        <v>6</v>
      </c>
      <c r="T22" s="194">
        <v>0.61499999999999999</v>
      </c>
      <c r="U22" s="194">
        <v>0.71399999999999997</v>
      </c>
      <c r="V22" s="194">
        <v>7</v>
      </c>
      <c r="W22" s="194"/>
      <c r="X22" s="194"/>
      <c r="Y22" s="194"/>
      <c r="Z22" s="194"/>
      <c r="AA22" s="194"/>
      <c r="AB22" s="194"/>
      <c r="AC22" s="194"/>
      <c r="AD22" s="194"/>
      <c r="AE22" s="194"/>
      <c r="AF22" s="194"/>
      <c r="AG22" s="194"/>
      <c r="AH22" s="194"/>
      <c r="AI22" s="194"/>
      <c r="AJ22" s="194"/>
      <c r="AK22" s="194"/>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row>
    <row r="23" spans="1:61" x14ac:dyDescent="0.3">
      <c r="A23" s="193" t="s">
        <v>488</v>
      </c>
      <c r="B23" s="194">
        <v>0.182</v>
      </c>
      <c r="C23" s="194">
        <v>0.33300000000000002</v>
      </c>
      <c r="D23" s="194">
        <v>3</v>
      </c>
      <c r="E23" s="194">
        <v>0.188</v>
      </c>
      <c r="F23" s="194">
        <v>0.125</v>
      </c>
      <c r="G23" s="194">
        <v>8</v>
      </c>
      <c r="H23" s="194">
        <v>0.17599999999999999</v>
      </c>
      <c r="I23" s="194">
        <v>0.2</v>
      </c>
      <c r="J23" s="194">
        <v>5</v>
      </c>
      <c r="K23" s="194">
        <v>0.214</v>
      </c>
      <c r="L23" s="194">
        <v>0.25</v>
      </c>
      <c r="M23" s="194">
        <v>4</v>
      </c>
      <c r="N23" s="194">
        <v>0.28599999999999998</v>
      </c>
      <c r="O23" s="194">
        <v>0.2</v>
      </c>
      <c r="P23" s="194">
        <v>5</v>
      </c>
      <c r="Q23" s="194">
        <v>0.308</v>
      </c>
      <c r="R23" s="194">
        <v>0.4</v>
      </c>
      <c r="S23" s="194">
        <v>5</v>
      </c>
      <c r="T23" s="194">
        <v>0.375</v>
      </c>
      <c r="U23" s="194">
        <v>0.33300000000000002</v>
      </c>
      <c r="V23" s="194">
        <v>3</v>
      </c>
      <c r="W23" s="194"/>
      <c r="X23" s="194"/>
      <c r="Y23" s="194"/>
      <c r="Z23" s="194"/>
      <c r="AA23" s="194"/>
      <c r="AB23" s="194"/>
      <c r="AC23" s="194"/>
      <c r="AD23" s="194"/>
      <c r="AE23" s="194"/>
      <c r="AF23" s="194"/>
      <c r="AG23" s="194"/>
      <c r="AH23" s="194"/>
      <c r="AI23" s="194"/>
      <c r="AJ23" s="194"/>
      <c r="AK23" s="194"/>
      <c r="AL23" s="140"/>
      <c r="AM23" s="140"/>
      <c r="AN23" s="140"/>
      <c r="AO23" s="140"/>
      <c r="AP23" s="140"/>
      <c r="AQ23" s="140"/>
      <c r="AR23" s="140"/>
      <c r="AS23" s="140"/>
      <c r="AT23" s="140"/>
      <c r="AU23" s="140"/>
      <c r="AV23" s="140"/>
      <c r="AW23" s="140"/>
      <c r="AX23" s="140"/>
      <c r="AY23" s="140"/>
      <c r="AZ23" s="140"/>
      <c r="BA23" s="140"/>
      <c r="BB23" s="140"/>
      <c r="BC23" s="140"/>
      <c r="BD23" s="140"/>
      <c r="BE23" s="140"/>
      <c r="BF23" s="140"/>
      <c r="BG23" s="140"/>
      <c r="BH23" s="140"/>
      <c r="BI23" s="140"/>
    </row>
    <row r="24" spans="1:61" x14ac:dyDescent="0.3">
      <c r="A24" s="193" t="s">
        <v>284</v>
      </c>
      <c r="B24" s="194">
        <v>0.6</v>
      </c>
      <c r="C24" s="194">
        <v>0.65</v>
      </c>
      <c r="D24" s="194">
        <v>20</v>
      </c>
      <c r="E24" s="194">
        <v>0.57399999999999995</v>
      </c>
      <c r="F24" s="194">
        <v>0.53300000000000003</v>
      </c>
      <c r="G24" s="194">
        <v>15</v>
      </c>
      <c r="H24" s="194">
        <v>0.54800000000000004</v>
      </c>
      <c r="I24" s="194">
        <v>0.5</v>
      </c>
      <c r="J24" s="194">
        <v>12</v>
      </c>
      <c r="K24" s="194">
        <v>0.54500000000000004</v>
      </c>
      <c r="L24" s="194">
        <v>0.6</v>
      </c>
      <c r="M24" s="194">
        <v>15</v>
      </c>
      <c r="N24" s="194">
        <v>0.52</v>
      </c>
      <c r="O24" s="194">
        <v>0.52900000000000003</v>
      </c>
      <c r="P24" s="194">
        <v>17</v>
      </c>
      <c r="Q24" s="194">
        <v>0.52900000000000003</v>
      </c>
      <c r="R24" s="194">
        <v>0.44400000000000001</v>
      </c>
      <c r="S24" s="194">
        <v>18</v>
      </c>
      <c r="T24" s="194">
        <v>0.52900000000000003</v>
      </c>
      <c r="U24" s="194">
        <v>0.625</v>
      </c>
      <c r="V24" s="194">
        <v>16</v>
      </c>
      <c r="W24" s="194"/>
      <c r="X24" s="194"/>
      <c r="Y24" s="194"/>
      <c r="Z24" s="194"/>
      <c r="AA24" s="194"/>
      <c r="AB24" s="194"/>
      <c r="AC24" s="194"/>
      <c r="AD24" s="194"/>
      <c r="AE24" s="194"/>
      <c r="AF24" s="194"/>
      <c r="AG24" s="194"/>
      <c r="AH24" s="194"/>
      <c r="AI24" s="194"/>
      <c r="AJ24" s="194"/>
      <c r="AK24" s="194"/>
      <c r="AL24" s="140"/>
      <c r="AM24" s="140"/>
      <c r="AN24" s="140"/>
      <c r="AO24" s="140"/>
      <c r="AP24" s="140"/>
      <c r="AQ24" s="140"/>
      <c r="AR24" s="140"/>
      <c r="AS24" s="140"/>
      <c r="AT24" s="140"/>
      <c r="AU24" s="140"/>
      <c r="AV24" s="140"/>
      <c r="AW24" s="140"/>
      <c r="AX24" s="140"/>
      <c r="AY24" s="140"/>
      <c r="AZ24" s="140"/>
      <c r="BA24" s="140"/>
      <c r="BB24" s="140"/>
      <c r="BC24" s="140"/>
      <c r="BD24" s="140"/>
      <c r="BE24" s="140"/>
      <c r="BF24" s="140"/>
      <c r="BG24" s="140"/>
      <c r="BH24" s="140"/>
      <c r="BI24" s="140"/>
    </row>
    <row r="25" spans="1:61" x14ac:dyDescent="0.3">
      <c r="A25" s="193" t="s">
        <v>554</v>
      </c>
      <c r="B25" s="194">
        <v>0.27</v>
      </c>
      <c r="C25" s="194">
        <v>0.222</v>
      </c>
      <c r="D25" s="194">
        <v>27</v>
      </c>
      <c r="E25" s="194">
        <v>0.28399999999999997</v>
      </c>
      <c r="F25" s="194">
        <v>0.30599999999999999</v>
      </c>
      <c r="G25" s="194">
        <v>36</v>
      </c>
      <c r="H25" s="194">
        <v>0.28199999999999997</v>
      </c>
      <c r="I25" s="194">
        <v>0.308</v>
      </c>
      <c r="J25" s="194">
        <v>39</v>
      </c>
      <c r="K25" s="194">
        <v>0.29599999999999999</v>
      </c>
      <c r="L25" s="194">
        <v>0.23799999999999999</v>
      </c>
      <c r="M25" s="194">
        <v>42</v>
      </c>
      <c r="N25" s="194">
        <v>0.27100000000000002</v>
      </c>
      <c r="O25" s="194">
        <v>0.41199999999999998</v>
      </c>
      <c r="P25" s="194">
        <v>17</v>
      </c>
      <c r="Q25" s="194">
        <v>0.32</v>
      </c>
      <c r="R25" s="194">
        <v>0.25</v>
      </c>
      <c r="S25" s="194">
        <v>48</v>
      </c>
      <c r="T25" s="194">
        <v>0.30199999999999999</v>
      </c>
      <c r="U25" s="194">
        <v>0.36799999999999999</v>
      </c>
      <c r="V25" s="194">
        <v>38</v>
      </c>
      <c r="W25" s="194"/>
      <c r="X25" s="194"/>
      <c r="Y25" s="194"/>
      <c r="Z25" s="194"/>
      <c r="AA25" s="194"/>
      <c r="AB25" s="194"/>
      <c r="AC25" s="194"/>
      <c r="AD25" s="194"/>
      <c r="AE25" s="194"/>
      <c r="AF25" s="194"/>
      <c r="AG25" s="194"/>
      <c r="AH25" s="194"/>
      <c r="AI25" s="194"/>
      <c r="AJ25" s="194"/>
      <c r="AK25" s="194"/>
      <c r="AL25" s="140"/>
      <c r="AM25" s="140"/>
      <c r="AN25" s="140"/>
      <c r="AO25" s="140"/>
      <c r="AP25" s="140"/>
      <c r="AQ25" s="140"/>
      <c r="AR25" s="140"/>
      <c r="AS25" s="140"/>
      <c r="AT25" s="140"/>
      <c r="AU25" s="140"/>
      <c r="AV25" s="140"/>
      <c r="AW25" s="140"/>
      <c r="AX25" s="140"/>
      <c r="AY25" s="140"/>
      <c r="AZ25" s="140"/>
      <c r="BA25" s="140"/>
      <c r="BB25" s="140"/>
      <c r="BC25" s="140"/>
      <c r="BD25" s="140"/>
      <c r="BE25" s="140"/>
      <c r="BF25" s="140"/>
      <c r="BG25" s="140"/>
      <c r="BH25" s="140"/>
      <c r="BI25" s="140"/>
    </row>
    <row r="26" spans="1:61" x14ac:dyDescent="0.3">
      <c r="A26" s="193" t="s">
        <v>369</v>
      </c>
      <c r="B26" s="194">
        <v>0.316</v>
      </c>
      <c r="C26" s="194">
        <v>0.5</v>
      </c>
      <c r="D26" s="194">
        <v>10</v>
      </c>
      <c r="E26" s="194">
        <v>0.34499999999999997</v>
      </c>
      <c r="F26" s="194">
        <v>0.111</v>
      </c>
      <c r="G26" s="194">
        <v>9</v>
      </c>
      <c r="H26" s="194">
        <v>0.25</v>
      </c>
      <c r="I26" s="194">
        <v>0.4</v>
      </c>
      <c r="J26" s="194">
        <v>10</v>
      </c>
      <c r="K26" s="194">
        <v>0.39300000000000002</v>
      </c>
      <c r="L26" s="194">
        <v>0.2</v>
      </c>
      <c r="M26" s="194">
        <v>5</v>
      </c>
      <c r="N26" s="194">
        <v>0.34599999999999997</v>
      </c>
      <c r="O26" s="194">
        <v>0.46200000000000002</v>
      </c>
      <c r="P26" s="194">
        <v>13</v>
      </c>
      <c r="Q26" s="194">
        <v>0.29599999999999999</v>
      </c>
      <c r="R26" s="194">
        <v>0.25</v>
      </c>
      <c r="S26" s="194">
        <v>8</v>
      </c>
      <c r="T26" s="194">
        <v>0.14299999999999999</v>
      </c>
      <c r="U26" s="194">
        <v>0</v>
      </c>
      <c r="V26" s="194">
        <v>6</v>
      </c>
      <c r="W26" s="194"/>
      <c r="X26" s="194"/>
      <c r="Y26" s="194"/>
      <c r="Z26" s="194"/>
      <c r="AA26" s="194"/>
      <c r="AB26" s="194"/>
      <c r="AC26" s="194"/>
      <c r="AD26" s="194"/>
      <c r="AE26" s="194"/>
      <c r="AF26" s="194"/>
      <c r="AG26" s="194"/>
      <c r="AH26" s="194"/>
      <c r="AI26" s="194"/>
      <c r="AJ26" s="194"/>
      <c r="AK26" s="194"/>
      <c r="AL26" s="140"/>
      <c r="AM26" s="140"/>
      <c r="AN26" s="140"/>
      <c r="AO26" s="140"/>
      <c r="AP26" s="140"/>
      <c r="AQ26" s="140"/>
      <c r="AR26" s="140"/>
      <c r="AS26" s="140"/>
      <c r="AT26" s="140"/>
      <c r="AU26" s="140"/>
      <c r="AV26" s="140"/>
      <c r="AW26" s="140"/>
      <c r="AX26" s="140"/>
      <c r="AY26" s="140"/>
      <c r="AZ26" s="140"/>
      <c r="BA26" s="140"/>
      <c r="BB26" s="140"/>
      <c r="BC26" s="140"/>
      <c r="BD26" s="140"/>
      <c r="BE26" s="140"/>
      <c r="BF26" s="140"/>
      <c r="BG26" s="140"/>
      <c r="BH26" s="140"/>
      <c r="BI26" s="140"/>
    </row>
    <row r="27" spans="1:61" x14ac:dyDescent="0.3">
      <c r="A27" s="193" t="s">
        <v>262</v>
      </c>
      <c r="B27" s="194">
        <v>0.4</v>
      </c>
      <c r="C27" s="194">
        <v>0.57099999999999995</v>
      </c>
      <c r="D27" s="194">
        <v>7</v>
      </c>
      <c r="E27" s="194">
        <v>0.34799999999999998</v>
      </c>
      <c r="F27" s="194">
        <v>0.308</v>
      </c>
      <c r="G27" s="194">
        <v>13</v>
      </c>
      <c r="H27" s="194">
        <v>0.28000000000000003</v>
      </c>
      <c r="I27" s="194">
        <v>0</v>
      </c>
      <c r="J27" s="194">
        <v>3</v>
      </c>
      <c r="K27" s="194">
        <v>0.38100000000000001</v>
      </c>
      <c r="L27" s="194">
        <v>0.33300000000000002</v>
      </c>
      <c r="M27" s="194">
        <v>9</v>
      </c>
      <c r="N27" s="194">
        <v>0.46400000000000002</v>
      </c>
      <c r="O27" s="194">
        <v>0.55600000000000005</v>
      </c>
      <c r="P27" s="194">
        <v>9</v>
      </c>
      <c r="Q27" s="194">
        <v>0.54800000000000004</v>
      </c>
      <c r="R27" s="194">
        <v>0.5</v>
      </c>
      <c r="S27" s="194">
        <v>10</v>
      </c>
      <c r="T27" s="194">
        <v>0.54500000000000004</v>
      </c>
      <c r="U27" s="194">
        <v>0.58299999999999996</v>
      </c>
      <c r="V27" s="194">
        <v>12</v>
      </c>
      <c r="W27" s="194"/>
      <c r="X27" s="194"/>
      <c r="Y27" s="194"/>
      <c r="Z27" s="194"/>
      <c r="AA27" s="194"/>
      <c r="AB27" s="194"/>
      <c r="AC27" s="194"/>
      <c r="AD27" s="194"/>
      <c r="AE27" s="194"/>
      <c r="AF27" s="194"/>
      <c r="AG27" s="194"/>
      <c r="AH27" s="194"/>
      <c r="AI27" s="194"/>
      <c r="AJ27" s="194"/>
      <c r="AK27" s="194"/>
      <c r="AL27" s="140"/>
      <c r="AM27" s="140"/>
      <c r="AN27" s="140"/>
      <c r="AO27" s="140"/>
      <c r="AP27" s="140"/>
      <c r="AQ27" s="140"/>
      <c r="AR27" s="140"/>
      <c r="AS27" s="140"/>
      <c r="AT27" s="140"/>
      <c r="AU27" s="140"/>
      <c r="AV27" s="140"/>
      <c r="AW27" s="140"/>
      <c r="AX27" s="140"/>
      <c r="AY27" s="140"/>
      <c r="AZ27" s="140"/>
      <c r="BA27" s="140"/>
      <c r="BB27" s="140"/>
      <c r="BC27" s="140"/>
      <c r="BD27" s="140"/>
      <c r="BE27" s="140"/>
      <c r="BF27" s="140"/>
      <c r="BG27" s="140"/>
      <c r="BH27" s="140"/>
      <c r="BI27" s="140"/>
    </row>
    <row r="28" spans="1:61" x14ac:dyDescent="0.3">
      <c r="A28" s="193" t="s">
        <v>500</v>
      </c>
      <c r="B28" s="194">
        <v>0.41699999999999998</v>
      </c>
      <c r="C28" s="194">
        <v>0.4</v>
      </c>
      <c r="D28" s="194">
        <v>5</v>
      </c>
      <c r="E28" s="194">
        <v>0.35299999999999998</v>
      </c>
      <c r="F28" s="194">
        <v>0.42899999999999999</v>
      </c>
      <c r="G28" s="194">
        <v>7</v>
      </c>
      <c r="H28" s="194">
        <v>0.35699999999999998</v>
      </c>
      <c r="I28" s="194">
        <v>0.2</v>
      </c>
      <c r="J28" s="194">
        <v>5</v>
      </c>
      <c r="K28" s="194">
        <v>0.33300000000000002</v>
      </c>
      <c r="L28" s="194">
        <v>0.5</v>
      </c>
      <c r="M28" s="194">
        <v>2</v>
      </c>
      <c r="N28" s="194">
        <v>0.25</v>
      </c>
      <c r="O28" s="194">
        <v>0.5</v>
      </c>
      <c r="P28" s="194">
        <v>2</v>
      </c>
      <c r="Q28" s="194">
        <v>0.3</v>
      </c>
      <c r="R28" s="194">
        <v>0</v>
      </c>
      <c r="S28" s="194">
        <v>4</v>
      </c>
      <c r="T28" s="194">
        <v>0.25</v>
      </c>
      <c r="U28" s="194">
        <v>0.5</v>
      </c>
      <c r="V28" s="194">
        <v>4</v>
      </c>
      <c r="W28" s="194"/>
      <c r="X28" s="194"/>
      <c r="Y28" s="194"/>
      <c r="Z28" s="194"/>
      <c r="AA28" s="194"/>
      <c r="AB28" s="194"/>
      <c r="AC28" s="194"/>
      <c r="AD28" s="194"/>
      <c r="AE28" s="194"/>
      <c r="AF28" s="194"/>
      <c r="AG28" s="194"/>
      <c r="AH28" s="194"/>
      <c r="AI28" s="194"/>
      <c r="AJ28" s="194"/>
      <c r="AK28" s="194"/>
      <c r="AL28" s="140"/>
      <c r="AM28" s="140"/>
      <c r="AN28" s="140"/>
      <c r="AO28" s="140"/>
      <c r="AP28" s="140"/>
      <c r="AQ28" s="140"/>
      <c r="AR28" s="140"/>
      <c r="AS28" s="140"/>
      <c r="AT28" s="140"/>
      <c r="AU28" s="140"/>
      <c r="AV28" s="140"/>
      <c r="AW28" s="140"/>
      <c r="AX28" s="140"/>
      <c r="AY28" s="140"/>
      <c r="AZ28" s="140"/>
      <c r="BA28" s="140"/>
      <c r="BB28" s="140"/>
      <c r="BC28" s="140"/>
      <c r="BD28" s="140"/>
      <c r="BE28" s="140"/>
      <c r="BF28" s="140"/>
      <c r="BG28" s="140"/>
      <c r="BH28" s="140"/>
      <c r="BI28" s="140"/>
    </row>
    <row r="29" spans="1:61" x14ac:dyDescent="0.3">
      <c r="A29" s="193" t="s">
        <v>454</v>
      </c>
      <c r="B29" s="194">
        <v>0.38600000000000001</v>
      </c>
      <c r="C29" s="194">
        <v>0.313</v>
      </c>
      <c r="D29" s="194">
        <v>16</v>
      </c>
      <c r="E29" s="194">
        <v>0.34300000000000003</v>
      </c>
      <c r="F29" s="194">
        <v>0.42899999999999999</v>
      </c>
      <c r="G29" s="194">
        <v>28</v>
      </c>
      <c r="H29" s="194">
        <v>0.36399999999999999</v>
      </c>
      <c r="I29" s="194">
        <v>0.26900000000000002</v>
      </c>
      <c r="J29" s="194">
        <v>26</v>
      </c>
      <c r="K29" s="194">
        <v>0.313</v>
      </c>
      <c r="L29" s="194">
        <v>0.39100000000000001</v>
      </c>
      <c r="M29" s="194">
        <v>23</v>
      </c>
      <c r="N29" s="194">
        <v>0.34399999999999997</v>
      </c>
      <c r="O29" s="194">
        <v>0.27800000000000002</v>
      </c>
      <c r="P29" s="194">
        <v>18</v>
      </c>
      <c r="Q29" s="194">
        <v>0.29499999999999998</v>
      </c>
      <c r="R29" s="194">
        <v>0.35</v>
      </c>
      <c r="S29" s="194">
        <v>20</v>
      </c>
      <c r="T29" s="194">
        <v>0.30199999999999999</v>
      </c>
      <c r="U29" s="194">
        <v>0.26100000000000001</v>
      </c>
      <c r="V29" s="194">
        <v>23</v>
      </c>
      <c r="W29" s="194"/>
      <c r="X29" s="194"/>
      <c r="Y29" s="194"/>
      <c r="Z29" s="194"/>
      <c r="AA29" s="194"/>
      <c r="AB29" s="194"/>
      <c r="AC29" s="194"/>
      <c r="AD29" s="194"/>
      <c r="AE29" s="194"/>
      <c r="AF29" s="194"/>
      <c r="AG29" s="194"/>
      <c r="AH29" s="194"/>
      <c r="AI29" s="194"/>
      <c r="AJ29" s="194"/>
      <c r="AK29" s="194"/>
      <c r="AL29" s="140"/>
      <c r="AM29" s="140"/>
      <c r="AN29" s="140"/>
      <c r="AO29" s="140"/>
      <c r="AP29" s="140"/>
      <c r="AQ29" s="140"/>
      <c r="AR29" s="140"/>
      <c r="AS29" s="140"/>
      <c r="AT29" s="140"/>
      <c r="AU29" s="140"/>
      <c r="AV29" s="140"/>
      <c r="AW29" s="140"/>
      <c r="AX29" s="140"/>
      <c r="AY29" s="140"/>
      <c r="AZ29" s="140"/>
      <c r="BA29" s="140"/>
      <c r="BB29" s="140"/>
      <c r="BC29" s="140"/>
      <c r="BD29" s="140"/>
      <c r="BE29" s="140"/>
      <c r="BF29" s="140"/>
      <c r="BG29" s="140"/>
      <c r="BH29" s="140"/>
      <c r="BI29" s="140"/>
    </row>
    <row r="30" spans="1:61" x14ac:dyDescent="0.3">
      <c r="A30" s="193" t="s">
        <v>412</v>
      </c>
      <c r="B30" s="194">
        <v>0.33300000000000002</v>
      </c>
      <c r="C30" s="194">
        <v>0.2</v>
      </c>
      <c r="D30" s="194">
        <v>10</v>
      </c>
      <c r="E30" s="194">
        <v>0.33300000000000002</v>
      </c>
      <c r="F30" s="194">
        <v>0.6</v>
      </c>
      <c r="G30" s="194">
        <v>5</v>
      </c>
      <c r="H30" s="194">
        <v>0.42899999999999999</v>
      </c>
      <c r="I30" s="194"/>
      <c r="J30" s="194"/>
      <c r="K30" s="194">
        <v>0.222</v>
      </c>
      <c r="L30" s="194">
        <v>0</v>
      </c>
      <c r="M30" s="194">
        <v>2</v>
      </c>
      <c r="N30" s="194">
        <v>0.2</v>
      </c>
      <c r="O30" s="194">
        <v>0.28599999999999998</v>
      </c>
      <c r="P30" s="194">
        <v>7</v>
      </c>
      <c r="Q30" s="194">
        <v>0.27300000000000002</v>
      </c>
      <c r="R30" s="194">
        <v>0</v>
      </c>
      <c r="S30" s="194">
        <v>1</v>
      </c>
      <c r="T30" s="194">
        <v>0.25</v>
      </c>
      <c r="U30" s="194">
        <v>0.33300000000000002</v>
      </c>
      <c r="V30" s="194">
        <v>3</v>
      </c>
      <c r="W30" s="194"/>
      <c r="X30" s="194"/>
      <c r="Y30" s="194"/>
      <c r="Z30" s="194"/>
      <c r="AA30" s="194"/>
      <c r="AB30" s="194"/>
      <c r="AC30" s="194"/>
      <c r="AD30" s="194"/>
      <c r="AE30" s="194"/>
      <c r="AF30" s="194"/>
      <c r="AG30" s="194"/>
      <c r="AH30" s="194"/>
      <c r="AI30" s="194"/>
      <c r="AJ30" s="194"/>
      <c r="AK30" s="194"/>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row>
    <row r="31" spans="1:61" x14ac:dyDescent="0.3">
      <c r="A31" s="193" t="s">
        <v>346</v>
      </c>
      <c r="B31" s="194">
        <v>0.39200000000000002</v>
      </c>
      <c r="C31" s="194">
        <v>0.26300000000000001</v>
      </c>
      <c r="D31" s="194">
        <v>38</v>
      </c>
      <c r="E31" s="194">
        <v>0.377</v>
      </c>
      <c r="F31" s="194">
        <v>0.52800000000000002</v>
      </c>
      <c r="G31" s="194">
        <v>36</v>
      </c>
      <c r="H31" s="194">
        <v>0.41</v>
      </c>
      <c r="I31" s="194">
        <v>0.34399999999999997</v>
      </c>
      <c r="J31" s="194">
        <v>32</v>
      </c>
      <c r="K31" s="194">
        <v>0.31</v>
      </c>
      <c r="L31" s="194">
        <v>0.35099999999999998</v>
      </c>
      <c r="M31" s="194">
        <v>37</v>
      </c>
      <c r="N31" s="194">
        <v>0.311</v>
      </c>
      <c r="O31" s="194">
        <v>0.25</v>
      </c>
      <c r="P31" s="194">
        <v>44</v>
      </c>
      <c r="Q31" s="194">
        <v>0.36399999999999999</v>
      </c>
      <c r="R31" s="194">
        <v>0.34100000000000003</v>
      </c>
      <c r="S31" s="194">
        <v>41</v>
      </c>
      <c r="T31" s="194">
        <v>0.432</v>
      </c>
      <c r="U31" s="194">
        <v>0.54500000000000004</v>
      </c>
      <c r="V31" s="194">
        <v>33</v>
      </c>
      <c r="W31" s="194"/>
      <c r="X31" s="194"/>
      <c r="Y31" s="194"/>
      <c r="Z31" s="194"/>
      <c r="AA31" s="194"/>
      <c r="AB31" s="194"/>
      <c r="AC31" s="194"/>
      <c r="AD31" s="194"/>
      <c r="AE31" s="194"/>
      <c r="AF31" s="194"/>
      <c r="AG31" s="194"/>
      <c r="AH31" s="194"/>
      <c r="AI31" s="194"/>
      <c r="AJ31" s="194"/>
      <c r="AK31" s="194"/>
      <c r="AL31" s="140"/>
      <c r="AM31" s="140"/>
      <c r="AN31" s="140"/>
      <c r="AO31" s="140"/>
      <c r="AP31" s="140"/>
      <c r="AQ31" s="140"/>
      <c r="AR31" s="140"/>
      <c r="AS31" s="140"/>
      <c r="AT31" s="140"/>
      <c r="AU31" s="140"/>
      <c r="AV31" s="140"/>
      <c r="AW31" s="140"/>
      <c r="AX31" s="140"/>
      <c r="AY31" s="140"/>
      <c r="AZ31" s="140"/>
      <c r="BA31" s="140"/>
      <c r="BB31" s="140"/>
      <c r="BC31" s="140"/>
      <c r="BD31" s="140"/>
      <c r="BE31" s="140"/>
      <c r="BF31" s="140"/>
      <c r="BG31" s="140"/>
      <c r="BH31" s="140"/>
      <c r="BI31" s="140"/>
    </row>
    <row r="32" spans="1:61" x14ac:dyDescent="0.3">
      <c r="A32" s="193" t="s">
        <v>352</v>
      </c>
      <c r="B32" s="194">
        <v>0.39500000000000002</v>
      </c>
      <c r="C32" s="194">
        <v>0.42899999999999999</v>
      </c>
      <c r="D32" s="194">
        <v>56</v>
      </c>
      <c r="E32" s="194">
        <v>0.40899999999999997</v>
      </c>
      <c r="F32" s="194">
        <v>0.36199999999999999</v>
      </c>
      <c r="G32" s="194">
        <v>58</v>
      </c>
      <c r="H32" s="194">
        <v>0.40600000000000003</v>
      </c>
      <c r="I32" s="194">
        <v>0.44</v>
      </c>
      <c r="J32" s="194">
        <v>50</v>
      </c>
      <c r="K32" s="194">
        <v>0.44</v>
      </c>
      <c r="L32" s="194">
        <v>0.42299999999999999</v>
      </c>
      <c r="M32" s="194">
        <v>52</v>
      </c>
      <c r="N32" s="194">
        <v>0.41</v>
      </c>
      <c r="O32" s="194">
        <v>0.45800000000000002</v>
      </c>
      <c r="P32" s="194">
        <v>48</v>
      </c>
      <c r="Q32" s="194">
        <v>0.41099999999999998</v>
      </c>
      <c r="R32" s="194">
        <v>0.33300000000000002</v>
      </c>
      <c r="S32" s="194">
        <v>39</v>
      </c>
      <c r="T32" s="194">
        <v>0.38200000000000001</v>
      </c>
      <c r="U32" s="194">
        <v>0.432</v>
      </c>
      <c r="V32" s="194">
        <v>37</v>
      </c>
      <c r="W32" s="194"/>
      <c r="X32" s="194"/>
      <c r="Y32" s="194"/>
      <c r="Z32" s="194"/>
      <c r="AA32" s="194"/>
      <c r="AB32" s="194"/>
      <c r="AC32" s="194"/>
      <c r="AD32" s="194"/>
      <c r="AE32" s="194"/>
      <c r="AF32" s="194"/>
      <c r="AG32" s="194"/>
      <c r="AH32" s="194"/>
      <c r="AI32" s="194"/>
      <c r="AJ32" s="194"/>
      <c r="AK32" s="194"/>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row>
    <row r="33" spans="1:61" x14ac:dyDescent="0.3">
      <c r="A33" s="193" t="s">
        <v>446</v>
      </c>
      <c r="B33" s="194">
        <v>0.38900000000000001</v>
      </c>
      <c r="C33" s="194">
        <v>0.41399999999999998</v>
      </c>
      <c r="D33" s="194">
        <v>29</v>
      </c>
      <c r="E33" s="194">
        <v>0.373</v>
      </c>
      <c r="F33" s="194">
        <v>0.36</v>
      </c>
      <c r="G33" s="194">
        <v>25</v>
      </c>
      <c r="H33" s="194">
        <v>0.36899999999999999</v>
      </c>
      <c r="I33" s="194">
        <v>0.33300000000000002</v>
      </c>
      <c r="J33" s="194">
        <v>21</v>
      </c>
      <c r="K33" s="194">
        <v>0.36399999999999999</v>
      </c>
      <c r="L33" s="194">
        <v>0.42099999999999999</v>
      </c>
      <c r="M33" s="194">
        <v>19</v>
      </c>
      <c r="N33" s="194">
        <v>0.39100000000000001</v>
      </c>
      <c r="O33" s="194">
        <v>0.34599999999999997</v>
      </c>
      <c r="P33" s="194">
        <v>26</v>
      </c>
      <c r="Q33" s="194">
        <v>0.45500000000000002</v>
      </c>
      <c r="R33" s="194">
        <v>0.41699999999999998</v>
      </c>
      <c r="S33" s="194">
        <v>24</v>
      </c>
      <c r="T33" s="194">
        <v>0.51</v>
      </c>
      <c r="U33" s="194">
        <v>0.59299999999999997</v>
      </c>
      <c r="V33" s="194">
        <v>27</v>
      </c>
      <c r="W33" s="194"/>
      <c r="X33" s="194"/>
      <c r="Y33" s="194"/>
      <c r="Z33" s="194"/>
      <c r="AA33" s="194"/>
      <c r="AB33" s="194"/>
      <c r="AC33" s="194"/>
      <c r="AD33" s="194"/>
      <c r="AE33" s="194"/>
      <c r="AF33" s="194"/>
      <c r="AG33" s="194"/>
      <c r="AH33" s="194"/>
      <c r="AI33" s="194"/>
      <c r="AJ33" s="194"/>
      <c r="AK33" s="194"/>
      <c r="AL33" s="140"/>
      <c r="AM33" s="140"/>
      <c r="AN33" s="140"/>
      <c r="AO33" s="140"/>
      <c r="AP33" s="140"/>
      <c r="AQ33" s="140"/>
      <c r="AR33" s="140"/>
      <c r="AS33" s="140"/>
      <c r="AT33" s="140"/>
      <c r="AU33" s="140"/>
      <c r="AV33" s="140"/>
      <c r="AW33" s="140"/>
      <c r="AX33" s="140"/>
      <c r="AY33" s="140"/>
      <c r="AZ33" s="140"/>
      <c r="BA33" s="140"/>
      <c r="BB33" s="140"/>
      <c r="BC33" s="140"/>
      <c r="BD33" s="140"/>
      <c r="BE33" s="140"/>
      <c r="BF33" s="140"/>
      <c r="BG33" s="140"/>
      <c r="BH33" s="140"/>
      <c r="BI33" s="140"/>
    </row>
    <row r="34" spans="1:61" x14ac:dyDescent="0.3">
      <c r="A34" s="193" t="s">
        <v>396</v>
      </c>
      <c r="B34" s="194">
        <v>0.375</v>
      </c>
      <c r="C34" s="194">
        <v>0.46400000000000002</v>
      </c>
      <c r="D34" s="194">
        <v>28</v>
      </c>
      <c r="E34" s="194">
        <v>0.42499999999999999</v>
      </c>
      <c r="F34" s="194">
        <v>0.25</v>
      </c>
      <c r="G34" s="194">
        <v>20</v>
      </c>
      <c r="H34" s="194">
        <v>0.40500000000000003</v>
      </c>
      <c r="I34" s="194">
        <v>0.48699999999999999</v>
      </c>
      <c r="J34" s="194">
        <v>39</v>
      </c>
      <c r="K34" s="194">
        <v>0.38900000000000001</v>
      </c>
      <c r="L34" s="194">
        <v>0.4</v>
      </c>
      <c r="M34" s="194">
        <v>25</v>
      </c>
      <c r="N34" s="194">
        <v>0.311</v>
      </c>
      <c r="O34" s="194">
        <v>0.23100000000000001</v>
      </c>
      <c r="P34" s="194">
        <v>26</v>
      </c>
      <c r="Q34" s="194">
        <v>0.32</v>
      </c>
      <c r="R34" s="194">
        <v>0.30399999999999999</v>
      </c>
      <c r="S34" s="194">
        <v>23</v>
      </c>
      <c r="T34" s="194">
        <v>0.36699999999999999</v>
      </c>
      <c r="U34" s="194">
        <v>0.42299999999999999</v>
      </c>
      <c r="V34" s="194">
        <v>26</v>
      </c>
      <c r="W34" s="194"/>
      <c r="X34" s="194"/>
      <c r="Y34" s="194"/>
      <c r="Z34" s="194"/>
      <c r="AA34" s="194"/>
      <c r="AB34" s="194"/>
      <c r="AC34" s="194"/>
      <c r="AD34" s="194"/>
      <c r="AE34" s="194"/>
      <c r="AF34" s="194"/>
      <c r="AG34" s="194"/>
      <c r="AH34" s="194"/>
      <c r="AI34" s="194"/>
      <c r="AJ34" s="194"/>
      <c r="AK34" s="194"/>
      <c r="AL34" s="140"/>
      <c r="AM34" s="140"/>
      <c r="AN34" s="140"/>
      <c r="AO34" s="140"/>
      <c r="AP34" s="140"/>
      <c r="AQ34" s="140"/>
      <c r="AR34" s="140"/>
      <c r="AS34" s="140"/>
      <c r="AT34" s="140"/>
      <c r="AU34" s="140"/>
      <c r="AV34" s="140"/>
      <c r="AW34" s="140"/>
      <c r="AX34" s="140"/>
      <c r="AY34" s="140"/>
      <c r="AZ34" s="140"/>
      <c r="BA34" s="140"/>
      <c r="BB34" s="140"/>
      <c r="BC34" s="140"/>
      <c r="BD34" s="140"/>
      <c r="BE34" s="140"/>
      <c r="BF34" s="140"/>
      <c r="BG34" s="140"/>
      <c r="BH34" s="140"/>
      <c r="BI34" s="140"/>
    </row>
    <row r="35" spans="1:61" x14ac:dyDescent="0.3">
      <c r="A35" s="193" t="s">
        <v>272</v>
      </c>
      <c r="B35" s="194">
        <v>0.111</v>
      </c>
      <c r="C35" s="194">
        <v>0</v>
      </c>
      <c r="D35" s="194">
        <v>7</v>
      </c>
      <c r="E35" s="194">
        <v>0.16200000000000001</v>
      </c>
      <c r="F35" s="194">
        <v>0.182</v>
      </c>
      <c r="G35" s="194">
        <v>11</v>
      </c>
      <c r="H35" s="194">
        <v>0.23100000000000001</v>
      </c>
      <c r="I35" s="194">
        <v>0.21099999999999999</v>
      </c>
      <c r="J35" s="194">
        <v>19</v>
      </c>
      <c r="K35" s="194">
        <v>0.2</v>
      </c>
      <c r="L35" s="194">
        <v>0.33300000000000002</v>
      </c>
      <c r="M35" s="194">
        <v>9</v>
      </c>
      <c r="N35" s="194">
        <v>0.35699999999999998</v>
      </c>
      <c r="O35" s="194">
        <v>8.3000000000000004E-2</v>
      </c>
      <c r="P35" s="194">
        <v>12</v>
      </c>
      <c r="Q35" s="194">
        <v>0.375</v>
      </c>
      <c r="R35" s="194">
        <v>0.52400000000000002</v>
      </c>
      <c r="S35" s="194">
        <v>21</v>
      </c>
      <c r="T35" s="194">
        <v>0.45500000000000002</v>
      </c>
      <c r="U35" s="194">
        <v>0.39100000000000001</v>
      </c>
      <c r="V35" s="194">
        <v>23</v>
      </c>
      <c r="W35" s="194"/>
      <c r="X35" s="194"/>
      <c r="Y35" s="194"/>
      <c r="Z35" s="194"/>
      <c r="AA35" s="194"/>
      <c r="AB35" s="194"/>
      <c r="AC35" s="194"/>
      <c r="AD35" s="194"/>
      <c r="AE35" s="194"/>
      <c r="AF35" s="194"/>
      <c r="AG35" s="194"/>
      <c r="AH35" s="194"/>
      <c r="AI35" s="194"/>
      <c r="AJ35" s="194"/>
      <c r="AK35" s="194"/>
      <c r="AL35" s="140"/>
      <c r="AM35" s="140"/>
      <c r="AN35" s="140"/>
      <c r="AO35" s="140"/>
      <c r="AP35" s="140"/>
      <c r="AQ35" s="140"/>
      <c r="AR35" s="140"/>
      <c r="AS35" s="140"/>
      <c r="AT35" s="140"/>
      <c r="AU35" s="140"/>
      <c r="AV35" s="140"/>
      <c r="AW35" s="140"/>
      <c r="AX35" s="140"/>
      <c r="AY35" s="140"/>
      <c r="AZ35" s="140"/>
      <c r="BA35" s="140"/>
      <c r="BB35" s="140"/>
      <c r="BC35" s="140"/>
      <c r="BD35" s="140"/>
      <c r="BE35" s="140"/>
      <c r="BF35" s="140"/>
      <c r="BG35" s="140"/>
      <c r="BH35" s="140"/>
      <c r="BI35" s="140"/>
    </row>
    <row r="36" spans="1:61" x14ac:dyDescent="0.3">
      <c r="A36" s="193" t="s">
        <v>276</v>
      </c>
      <c r="B36" s="194">
        <v>0.44</v>
      </c>
      <c r="C36" s="194">
        <v>0.4</v>
      </c>
      <c r="D36" s="194">
        <v>15</v>
      </c>
      <c r="E36" s="194">
        <v>0.40600000000000003</v>
      </c>
      <c r="F36" s="194">
        <v>0.5</v>
      </c>
      <c r="G36" s="194">
        <v>10</v>
      </c>
      <c r="H36" s="194">
        <v>0.46400000000000002</v>
      </c>
      <c r="I36" s="194">
        <v>0.28599999999999998</v>
      </c>
      <c r="J36" s="194">
        <v>7</v>
      </c>
      <c r="K36" s="194">
        <v>0.32100000000000001</v>
      </c>
      <c r="L36" s="194">
        <v>0.54500000000000004</v>
      </c>
      <c r="M36" s="194">
        <v>11</v>
      </c>
      <c r="N36" s="194">
        <v>0.313</v>
      </c>
      <c r="O36" s="194">
        <v>0.1</v>
      </c>
      <c r="P36" s="194">
        <v>10</v>
      </c>
      <c r="Q36" s="194">
        <v>0.36699999999999999</v>
      </c>
      <c r="R36" s="194">
        <v>0.27300000000000002</v>
      </c>
      <c r="S36" s="194">
        <v>11</v>
      </c>
      <c r="T36" s="194">
        <v>0.5</v>
      </c>
      <c r="U36" s="194">
        <v>0.77800000000000002</v>
      </c>
      <c r="V36" s="194">
        <v>9</v>
      </c>
      <c r="W36" s="194"/>
      <c r="X36" s="194"/>
      <c r="Y36" s="194"/>
      <c r="Z36" s="194"/>
      <c r="AA36" s="194"/>
      <c r="AB36" s="194"/>
      <c r="AC36" s="194"/>
      <c r="AD36" s="194"/>
      <c r="AE36" s="194"/>
      <c r="AF36" s="194"/>
      <c r="AG36" s="194"/>
      <c r="AH36" s="194"/>
      <c r="AI36" s="194"/>
      <c r="AJ36" s="194"/>
      <c r="AK36" s="194"/>
      <c r="AL36" s="140"/>
      <c r="AM36" s="140"/>
      <c r="AN36" s="140"/>
      <c r="AO36" s="140"/>
      <c r="AP36" s="140"/>
      <c r="AQ36" s="140"/>
      <c r="AR36" s="140"/>
      <c r="AS36" s="140"/>
      <c r="AT36" s="140"/>
      <c r="AU36" s="140"/>
      <c r="AV36" s="140"/>
      <c r="AW36" s="140"/>
      <c r="AX36" s="140"/>
      <c r="AY36" s="140"/>
      <c r="AZ36" s="140"/>
      <c r="BA36" s="140"/>
      <c r="BB36" s="140"/>
      <c r="BC36" s="140"/>
      <c r="BD36" s="140"/>
      <c r="BE36" s="140"/>
      <c r="BF36" s="140"/>
      <c r="BG36" s="140"/>
      <c r="BH36" s="140"/>
      <c r="BI36" s="140"/>
    </row>
    <row r="37" spans="1:61" x14ac:dyDescent="0.3">
      <c r="A37" s="193" t="s">
        <v>502</v>
      </c>
      <c r="B37" s="194">
        <v>0.42399999999999999</v>
      </c>
      <c r="C37" s="194">
        <v>0.38900000000000001</v>
      </c>
      <c r="D37" s="194">
        <v>18</v>
      </c>
      <c r="E37" s="194">
        <v>0.434</v>
      </c>
      <c r="F37" s="194">
        <v>0.46700000000000003</v>
      </c>
      <c r="G37" s="194">
        <v>15</v>
      </c>
      <c r="H37" s="194">
        <v>0.41499999999999998</v>
      </c>
      <c r="I37" s="194">
        <v>0.45</v>
      </c>
      <c r="J37" s="194">
        <v>20</v>
      </c>
      <c r="K37" s="194">
        <v>0.375</v>
      </c>
      <c r="L37" s="194">
        <v>0.16700000000000001</v>
      </c>
      <c r="M37" s="194">
        <v>6</v>
      </c>
      <c r="N37" s="194">
        <v>0.23799999999999999</v>
      </c>
      <c r="O37" s="194">
        <v>0.33300000000000002</v>
      </c>
      <c r="P37" s="194">
        <v>6</v>
      </c>
      <c r="Q37" s="194">
        <v>0.33300000000000002</v>
      </c>
      <c r="R37" s="194">
        <v>0.222</v>
      </c>
      <c r="S37" s="194">
        <v>9</v>
      </c>
      <c r="T37" s="194">
        <v>0.33300000000000002</v>
      </c>
      <c r="U37" s="194">
        <v>0.41699999999999998</v>
      </c>
      <c r="V37" s="194">
        <v>12</v>
      </c>
      <c r="W37" s="194"/>
      <c r="X37" s="194"/>
      <c r="Y37" s="194"/>
      <c r="Z37" s="194"/>
      <c r="AA37" s="194"/>
      <c r="AB37" s="194"/>
      <c r="AC37" s="194"/>
      <c r="AD37" s="194"/>
      <c r="AE37" s="194"/>
      <c r="AF37" s="194"/>
      <c r="AG37" s="194"/>
      <c r="AH37" s="194"/>
      <c r="AI37" s="194"/>
      <c r="AJ37" s="194"/>
      <c r="AK37" s="194"/>
      <c r="AL37" s="140"/>
      <c r="AM37" s="140"/>
      <c r="AN37" s="140"/>
      <c r="AO37" s="140"/>
      <c r="AP37" s="140"/>
      <c r="AQ37" s="140"/>
      <c r="AR37" s="140"/>
      <c r="AS37" s="140"/>
      <c r="AT37" s="140"/>
      <c r="AU37" s="140"/>
      <c r="AV37" s="140"/>
      <c r="AW37" s="140"/>
      <c r="AX37" s="140"/>
      <c r="AY37" s="140"/>
      <c r="AZ37" s="140"/>
      <c r="BA37" s="140"/>
      <c r="BB37" s="140"/>
      <c r="BC37" s="140"/>
      <c r="BD37" s="140"/>
      <c r="BE37" s="140"/>
      <c r="BF37" s="140"/>
      <c r="BG37" s="140"/>
      <c r="BH37" s="140"/>
      <c r="BI37" s="140"/>
    </row>
    <row r="38" spans="1:61" x14ac:dyDescent="0.3">
      <c r="A38" s="193" t="s">
        <v>314</v>
      </c>
      <c r="B38" s="194">
        <v>0.313</v>
      </c>
      <c r="C38" s="194">
        <v>0.222</v>
      </c>
      <c r="D38" s="194">
        <v>9</v>
      </c>
      <c r="E38" s="194">
        <v>0.41199999999999998</v>
      </c>
      <c r="F38" s="194">
        <v>0.42899999999999999</v>
      </c>
      <c r="G38" s="194">
        <v>7</v>
      </c>
      <c r="H38" s="194">
        <v>0.432</v>
      </c>
      <c r="I38" s="194">
        <v>0.5</v>
      </c>
      <c r="J38" s="194">
        <v>18</v>
      </c>
      <c r="K38" s="194">
        <v>0.45</v>
      </c>
      <c r="L38" s="194">
        <v>0.33300000000000002</v>
      </c>
      <c r="M38" s="194">
        <v>12</v>
      </c>
      <c r="N38" s="194">
        <v>0.38700000000000001</v>
      </c>
      <c r="O38" s="194">
        <v>0.5</v>
      </c>
      <c r="P38" s="194">
        <v>10</v>
      </c>
      <c r="Q38" s="194">
        <v>0.35699999999999998</v>
      </c>
      <c r="R38" s="194">
        <v>0.33300000000000002</v>
      </c>
      <c r="S38" s="194">
        <v>9</v>
      </c>
      <c r="T38" s="194">
        <v>0.27800000000000002</v>
      </c>
      <c r="U38" s="194">
        <v>0.222</v>
      </c>
      <c r="V38" s="194">
        <v>9</v>
      </c>
      <c r="W38" s="194"/>
      <c r="X38" s="194"/>
      <c r="Y38" s="194"/>
      <c r="Z38" s="194"/>
      <c r="AA38" s="194"/>
      <c r="AB38" s="194"/>
      <c r="AC38" s="194"/>
      <c r="AD38" s="194"/>
      <c r="AE38" s="194"/>
      <c r="AF38" s="194"/>
      <c r="AG38" s="194"/>
      <c r="AH38" s="194"/>
      <c r="AI38" s="194"/>
      <c r="AJ38" s="194"/>
      <c r="AK38" s="194"/>
      <c r="AL38" s="140"/>
      <c r="AM38" s="140"/>
      <c r="AN38" s="140"/>
      <c r="AO38" s="140"/>
      <c r="AP38" s="140"/>
      <c r="AQ38" s="140"/>
      <c r="AR38" s="140"/>
      <c r="AS38" s="140"/>
      <c r="AT38" s="140"/>
      <c r="AU38" s="140"/>
      <c r="AV38" s="140"/>
      <c r="AW38" s="140"/>
      <c r="AX38" s="140"/>
      <c r="AY38" s="140"/>
      <c r="AZ38" s="140"/>
      <c r="BA38" s="140"/>
      <c r="BB38" s="140"/>
      <c r="BC38" s="140"/>
      <c r="BD38" s="140"/>
      <c r="BE38" s="140"/>
      <c r="BF38" s="140"/>
      <c r="BG38" s="140"/>
      <c r="BH38" s="140"/>
      <c r="BI38" s="140"/>
    </row>
    <row r="39" spans="1:61" x14ac:dyDescent="0.3">
      <c r="A39" s="193" t="s">
        <v>425</v>
      </c>
      <c r="B39" s="194">
        <v>0.436</v>
      </c>
      <c r="C39" s="194">
        <v>0.38100000000000001</v>
      </c>
      <c r="D39" s="194">
        <v>21</v>
      </c>
      <c r="E39" s="194">
        <v>0.42599999999999999</v>
      </c>
      <c r="F39" s="194">
        <v>0.5</v>
      </c>
      <c r="G39" s="194">
        <v>18</v>
      </c>
      <c r="H39" s="194">
        <v>0.46500000000000002</v>
      </c>
      <c r="I39" s="194">
        <v>0.375</v>
      </c>
      <c r="J39" s="194">
        <v>8</v>
      </c>
      <c r="K39" s="194">
        <v>0.5</v>
      </c>
      <c r="L39" s="194">
        <v>0.47099999999999997</v>
      </c>
      <c r="M39" s="194">
        <v>17</v>
      </c>
      <c r="N39" s="194">
        <v>0.56000000000000005</v>
      </c>
      <c r="O39" s="194">
        <v>0.61499999999999999</v>
      </c>
      <c r="P39" s="194">
        <v>13</v>
      </c>
      <c r="Q39" s="194">
        <v>0.44800000000000001</v>
      </c>
      <c r="R39" s="194">
        <v>0.6</v>
      </c>
      <c r="S39" s="194">
        <v>20</v>
      </c>
      <c r="T39" s="194">
        <v>0.4</v>
      </c>
      <c r="U39" s="194">
        <v>0.24</v>
      </c>
      <c r="V39" s="194">
        <v>25</v>
      </c>
      <c r="W39" s="194"/>
      <c r="X39" s="194"/>
      <c r="Y39" s="194"/>
      <c r="Z39" s="194"/>
      <c r="AA39" s="194"/>
      <c r="AB39" s="194"/>
      <c r="AC39" s="194"/>
      <c r="AD39" s="194"/>
      <c r="AE39" s="194"/>
      <c r="AF39" s="194"/>
      <c r="AG39" s="194"/>
      <c r="AH39" s="194"/>
      <c r="AI39" s="194"/>
      <c r="AJ39" s="194"/>
      <c r="AK39" s="194"/>
      <c r="AL39" s="140"/>
      <c r="AM39" s="140"/>
      <c r="AN39" s="140"/>
      <c r="AO39" s="140"/>
      <c r="AP39" s="140"/>
      <c r="AQ39" s="140"/>
      <c r="AR39" s="140"/>
      <c r="AS39" s="140"/>
      <c r="AT39" s="140"/>
      <c r="AU39" s="140"/>
      <c r="AV39" s="140"/>
      <c r="AW39" s="140"/>
      <c r="AX39" s="140"/>
      <c r="AY39" s="140"/>
      <c r="AZ39" s="140"/>
      <c r="BA39" s="140"/>
      <c r="BB39" s="140"/>
      <c r="BC39" s="140"/>
      <c r="BD39" s="140"/>
      <c r="BE39" s="140"/>
      <c r="BF39" s="140"/>
      <c r="BG39" s="140"/>
      <c r="BH39" s="140"/>
      <c r="BI39" s="140"/>
    </row>
    <row r="40" spans="1:61" x14ac:dyDescent="0.3">
      <c r="A40" s="193" t="s">
        <v>380</v>
      </c>
      <c r="B40" s="194">
        <v>0.154</v>
      </c>
      <c r="C40" s="194">
        <v>0.33300000000000002</v>
      </c>
      <c r="D40" s="194">
        <v>6</v>
      </c>
      <c r="E40" s="194">
        <v>0.23499999999999999</v>
      </c>
      <c r="F40" s="194">
        <v>0</v>
      </c>
      <c r="G40" s="194">
        <v>7</v>
      </c>
      <c r="H40" s="194">
        <v>0.154</v>
      </c>
      <c r="I40" s="194">
        <v>0.5</v>
      </c>
      <c r="J40" s="194">
        <v>4</v>
      </c>
      <c r="K40" s="194">
        <v>0.222</v>
      </c>
      <c r="L40" s="194">
        <v>0</v>
      </c>
      <c r="M40" s="194">
        <v>2</v>
      </c>
      <c r="N40" s="194">
        <v>0</v>
      </c>
      <c r="O40" s="194">
        <v>0</v>
      </c>
      <c r="P40" s="194">
        <v>3</v>
      </c>
      <c r="Q40" s="194">
        <v>0.16700000000000001</v>
      </c>
      <c r="R40" s="194"/>
      <c r="S40" s="194"/>
      <c r="T40" s="194">
        <v>0.222</v>
      </c>
      <c r="U40" s="194">
        <v>0.222</v>
      </c>
      <c r="V40" s="194">
        <v>9</v>
      </c>
      <c r="W40" s="194"/>
      <c r="X40" s="194"/>
      <c r="Y40" s="194"/>
      <c r="Z40" s="194"/>
      <c r="AA40" s="194"/>
      <c r="AB40" s="194"/>
      <c r="AC40" s="194"/>
      <c r="AD40" s="194"/>
      <c r="AE40" s="194"/>
      <c r="AF40" s="194"/>
      <c r="AG40" s="194"/>
      <c r="AH40" s="194"/>
      <c r="AI40" s="194"/>
      <c r="AJ40" s="194"/>
      <c r="AK40" s="194"/>
      <c r="AL40" s="140"/>
      <c r="AM40" s="140"/>
      <c r="AN40" s="140"/>
      <c r="AO40" s="140"/>
      <c r="AP40" s="140"/>
      <c r="AQ40" s="140"/>
      <c r="AR40" s="140"/>
      <c r="AS40" s="140"/>
      <c r="AT40" s="140"/>
      <c r="AU40" s="140"/>
      <c r="AV40" s="140"/>
      <c r="AW40" s="140"/>
      <c r="AX40" s="140"/>
      <c r="AY40" s="140"/>
      <c r="AZ40" s="140"/>
      <c r="BA40" s="140"/>
      <c r="BB40" s="140"/>
      <c r="BC40" s="140"/>
      <c r="BD40" s="140"/>
      <c r="BE40" s="140"/>
      <c r="BF40" s="140"/>
      <c r="BG40" s="140"/>
      <c r="BH40" s="140"/>
      <c r="BI40" s="140"/>
    </row>
    <row r="41" spans="1:61" x14ac:dyDescent="0.3">
      <c r="A41" s="193" t="s">
        <v>542</v>
      </c>
      <c r="B41" s="194">
        <v>0.47099999999999997</v>
      </c>
      <c r="C41" s="194">
        <v>0.41699999999999998</v>
      </c>
      <c r="D41" s="194">
        <v>12</v>
      </c>
      <c r="E41" s="194">
        <v>0.5</v>
      </c>
      <c r="F41" s="194">
        <v>0.6</v>
      </c>
      <c r="G41" s="194">
        <v>5</v>
      </c>
      <c r="H41" s="194">
        <v>0.47099999999999997</v>
      </c>
      <c r="I41" s="194">
        <v>0.6</v>
      </c>
      <c r="J41" s="194">
        <v>5</v>
      </c>
      <c r="K41" s="194">
        <v>0.35299999999999998</v>
      </c>
      <c r="L41" s="194">
        <v>0.28599999999999998</v>
      </c>
      <c r="M41" s="194">
        <v>7</v>
      </c>
      <c r="N41" s="194">
        <v>0.39100000000000001</v>
      </c>
      <c r="O41" s="194">
        <v>0.2</v>
      </c>
      <c r="P41" s="194">
        <v>5</v>
      </c>
      <c r="Q41" s="194">
        <v>0.53800000000000003</v>
      </c>
      <c r="R41" s="194">
        <v>0.54500000000000004</v>
      </c>
      <c r="S41" s="194">
        <v>11</v>
      </c>
      <c r="T41" s="194">
        <v>0.61899999999999999</v>
      </c>
      <c r="U41" s="194">
        <v>0.7</v>
      </c>
      <c r="V41" s="194">
        <v>10</v>
      </c>
      <c r="W41" s="194"/>
      <c r="X41" s="194"/>
      <c r="Y41" s="194"/>
      <c r="Z41" s="194"/>
      <c r="AA41" s="194"/>
      <c r="AB41" s="194"/>
      <c r="AC41" s="194"/>
      <c r="AD41" s="194"/>
      <c r="AE41" s="194"/>
      <c r="AF41" s="194"/>
      <c r="AG41" s="194"/>
      <c r="AH41" s="194"/>
      <c r="AI41" s="194"/>
      <c r="AJ41" s="194"/>
      <c r="AK41" s="194"/>
      <c r="AL41" s="140"/>
      <c r="AM41" s="140"/>
      <c r="AN41" s="140"/>
      <c r="AO41" s="140"/>
      <c r="AP41" s="140"/>
      <c r="AQ41" s="140"/>
      <c r="AR41" s="140"/>
      <c r="AS41" s="140"/>
      <c r="AT41" s="140"/>
      <c r="AU41" s="140"/>
      <c r="AV41" s="140"/>
      <c r="AW41" s="140"/>
      <c r="AX41" s="140"/>
      <c r="AY41" s="140"/>
      <c r="AZ41" s="140"/>
      <c r="BA41" s="140"/>
      <c r="BB41" s="140"/>
      <c r="BC41" s="140"/>
      <c r="BD41" s="140"/>
      <c r="BE41" s="140"/>
      <c r="BF41" s="140"/>
      <c r="BG41" s="140"/>
      <c r="BH41" s="140"/>
      <c r="BI41" s="140"/>
    </row>
    <row r="42" spans="1:61" x14ac:dyDescent="0.3">
      <c r="A42" s="193" t="s">
        <v>306</v>
      </c>
      <c r="B42" s="194">
        <v>0.58299999999999996</v>
      </c>
      <c r="C42" s="194">
        <v>0.65900000000000003</v>
      </c>
      <c r="D42" s="194">
        <v>41</v>
      </c>
      <c r="E42" s="194">
        <v>0.55700000000000005</v>
      </c>
      <c r="F42" s="194">
        <v>0.48399999999999999</v>
      </c>
      <c r="G42" s="194">
        <v>31</v>
      </c>
      <c r="H42" s="194">
        <v>0.51100000000000001</v>
      </c>
      <c r="I42" s="194">
        <v>0.5</v>
      </c>
      <c r="J42" s="194">
        <v>34</v>
      </c>
      <c r="K42" s="194">
        <v>0.59299999999999997</v>
      </c>
      <c r="L42" s="194">
        <v>0.56000000000000005</v>
      </c>
      <c r="M42" s="194">
        <v>25</v>
      </c>
      <c r="N42" s="194">
        <v>0.63700000000000001</v>
      </c>
      <c r="O42" s="194">
        <v>0.77300000000000002</v>
      </c>
      <c r="P42" s="194">
        <v>22</v>
      </c>
      <c r="Q42" s="194">
        <v>0.66700000000000004</v>
      </c>
      <c r="R42" s="194">
        <v>0.60599999999999998</v>
      </c>
      <c r="S42" s="194">
        <v>33</v>
      </c>
      <c r="T42" s="194">
        <v>0.63500000000000001</v>
      </c>
      <c r="U42" s="194">
        <v>0.65900000000000003</v>
      </c>
      <c r="V42" s="194">
        <v>41</v>
      </c>
      <c r="W42" s="194"/>
      <c r="X42" s="194"/>
      <c r="Y42" s="194"/>
      <c r="Z42" s="194"/>
      <c r="AA42" s="194"/>
      <c r="AB42" s="194"/>
      <c r="AC42" s="194"/>
      <c r="AD42" s="194"/>
      <c r="AE42" s="194"/>
      <c r="AF42" s="194"/>
      <c r="AG42" s="194"/>
      <c r="AH42" s="194"/>
      <c r="AI42" s="194"/>
      <c r="AJ42" s="194"/>
      <c r="AK42" s="194"/>
      <c r="AL42" s="140"/>
      <c r="AM42" s="140"/>
      <c r="AN42" s="140"/>
      <c r="AO42" s="140"/>
      <c r="AP42" s="140"/>
      <c r="AQ42" s="140"/>
      <c r="AR42" s="140"/>
      <c r="AS42" s="140"/>
      <c r="AT42" s="140"/>
      <c r="AU42" s="140"/>
      <c r="AV42" s="140"/>
      <c r="AW42" s="140"/>
      <c r="AX42" s="140"/>
      <c r="AY42" s="140"/>
      <c r="AZ42" s="140"/>
      <c r="BA42" s="140"/>
      <c r="BB42" s="140"/>
      <c r="BC42" s="140"/>
      <c r="BD42" s="140"/>
      <c r="BE42" s="140"/>
      <c r="BF42" s="140"/>
      <c r="BG42" s="140"/>
      <c r="BH42" s="140"/>
      <c r="BI42" s="140"/>
    </row>
    <row r="43" spans="1:61" x14ac:dyDescent="0.3">
      <c r="A43" s="193" t="s">
        <v>468</v>
      </c>
      <c r="B43" s="194">
        <v>0.35599999999999998</v>
      </c>
      <c r="C43" s="194">
        <v>0.41399999999999998</v>
      </c>
      <c r="D43" s="194">
        <v>29</v>
      </c>
      <c r="E43" s="194">
        <v>0.38800000000000001</v>
      </c>
      <c r="F43" s="194">
        <v>0.3</v>
      </c>
      <c r="G43" s="194">
        <v>30</v>
      </c>
      <c r="H43" s="194">
        <v>0.42499999999999999</v>
      </c>
      <c r="I43" s="194">
        <v>0.46200000000000002</v>
      </c>
      <c r="J43" s="194">
        <v>26</v>
      </c>
      <c r="K43" s="194">
        <v>0.442</v>
      </c>
      <c r="L43" s="194">
        <v>0.54200000000000004</v>
      </c>
      <c r="M43" s="194">
        <v>24</v>
      </c>
      <c r="N43" s="194">
        <v>0.38400000000000001</v>
      </c>
      <c r="O43" s="194">
        <v>0.33300000000000002</v>
      </c>
      <c r="P43" s="194">
        <v>27</v>
      </c>
      <c r="Q43" s="194">
        <v>0.30199999999999999</v>
      </c>
      <c r="R43" s="194">
        <v>0.27300000000000002</v>
      </c>
      <c r="S43" s="194">
        <v>22</v>
      </c>
      <c r="T43" s="194">
        <v>0.28799999999999998</v>
      </c>
      <c r="U43" s="194">
        <v>0.29699999999999999</v>
      </c>
      <c r="V43" s="194">
        <v>37</v>
      </c>
      <c r="W43" s="194"/>
      <c r="X43" s="194"/>
      <c r="Y43" s="194"/>
      <c r="Z43" s="194"/>
      <c r="AA43" s="194"/>
      <c r="AB43" s="194"/>
      <c r="AC43" s="194"/>
      <c r="AD43" s="194"/>
      <c r="AE43" s="194"/>
      <c r="AF43" s="194"/>
      <c r="AG43" s="194"/>
      <c r="AH43" s="194"/>
      <c r="AI43" s="194"/>
      <c r="AJ43" s="194"/>
      <c r="AK43" s="194"/>
      <c r="AL43" s="140"/>
      <c r="AM43" s="140"/>
      <c r="AN43" s="140"/>
      <c r="AO43" s="140"/>
      <c r="AP43" s="140"/>
      <c r="AQ43" s="140"/>
      <c r="AR43" s="140"/>
      <c r="AS43" s="140"/>
      <c r="AT43" s="140"/>
      <c r="AU43" s="140"/>
      <c r="AV43" s="140"/>
      <c r="AW43" s="140"/>
      <c r="AX43" s="140"/>
      <c r="AY43" s="140"/>
      <c r="AZ43" s="140"/>
      <c r="BA43" s="140"/>
      <c r="BB43" s="140"/>
      <c r="BC43" s="140"/>
      <c r="BD43" s="140"/>
      <c r="BE43" s="140"/>
      <c r="BF43" s="140"/>
      <c r="BG43" s="140"/>
      <c r="BH43" s="140"/>
      <c r="BI43" s="140"/>
    </row>
    <row r="44" spans="1:61" x14ac:dyDescent="0.3">
      <c r="A44" s="193" t="s">
        <v>448</v>
      </c>
      <c r="B44" s="194">
        <v>0.49099999999999999</v>
      </c>
      <c r="C44" s="194">
        <v>0.48099999999999998</v>
      </c>
      <c r="D44" s="194">
        <v>27</v>
      </c>
      <c r="E44" s="194">
        <v>0.45500000000000002</v>
      </c>
      <c r="F44" s="194">
        <v>0.5</v>
      </c>
      <c r="G44" s="194">
        <v>26</v>
      </c>
      <c r="H44" s="194">
        <v>0.49399999999999999</v>
      </c>
      <c r="I44" s="194">
        <v>0.4</v>
      </c>
      <c r="J44" s="194">
        <v>35</v>
      </c>
      <c r="K44" s="194">
        <v>0.50600000000000001</v>
      </c>
      <c r="L44" s="194">
        <v>0.625</v>
      </c>
      <c r="M44" s="194">
        <v>24</v>
      </c>
      <c r="N44" s="194">
        <v>0.57399999999999995</v>
      </c>
      <c r="O44" s="194">
        <v>0.53800000000000003</v>
      </c>
      <c r="P44" s="194">
        <v>26</v>
      </c>
      <c r="Q44" s="194">
        <v>0.53800000000000003</v>
      </c>
      <c r="R44" s="194">
        <v>0.55600000000000005</v>
      </c>
      <c r="S44" s="194">
        <v>18</v>
      </c>
      <c r="T44" s="194">
        <v>0.53800000000000003</v>
      </c>
      <c r="U44" s="194">
        <v>0.52400000000000002</v>
      </c>
      <c r="V44" s="194">
        <v>21</v>
      </c>
      <c r="W44" s="194"/>
      <c r="X44" s="194"/>
      <c r="Y44" s="194"/>
      <c r="Z44" s="194"/>
      <c r="AA44" s="194"/>
      <c r="AB44" s="194"/>
      <c r="AC44" s="194"/>
      <c r="AD44" s="194"/>
      <c r="AE44" s="194"/>
      <c r="AF44" s="194"/>
      <c r="AG44" s="194"/>
      <c r="AH44" s="194"/>
      <c r="AI44" s="194"/>
      <c r="AJ44" s="194"/>
      <c r="AK44" s="194"/>
      <c r="AL44" s="140"/>
      <c r="AM44" s="140"/>
      <c r="AN44" s="140"/>
      <c r="AO44" s="140"/>
      <c r="AP44" s="140"/>
      <c r="AQ44" s="140"/>
      <c r="AR44" s="140"/>
      <c r="AS44" s="140"/>
      <c r="AT44" s="140"/>
      <c r="AU44" s="140"/>
      <c r="AV44" s="140"/>
      <c r="AW44" s="140"/>
      <c r="AX44" s="140"/>
      <c r="AY44" s="140"/>
      <c r="AZ44" s="140"/>
      <c r="BA44" s="140"/>
      <c r="BB44" s="140"/>
      <c r="BC44" s="140"/>
      <c r="BD44" s="140"/>
      <c r="BE44" s="140"/>
      <c r="BF44" s="140"/>
      <c r="BG44" s="140"/>
      <c r="BH44" s="140"/>
      <c r="BI44" s="140"/>
    </row>
    <row r="45" spans="1:61" x14ac:dyDescent="0.3">
      <c r="A45" s="193" t="s">
        <v>516</v>
      </c>
      <c r="B45" s="194">
        <v>0.26700000000000002</v>
      </c>
      <c r="C45" s="194">
        <v>0.30199999999999999</v>
      </c>
      <c r="D45" s="194">
        <v>43</v>
      </c>
      <c r="E45" s="194">
        <v>0.27</v>
      </c>
      <c r="F45" s="194">
        <v>0.219</v>
      </c>
      <c r="G45" s="194">
        <v>32</v>
      </c>
      <c r="H45" s="194">
        <v>0.23899999999999999</v>
      </c>
      <c r="I45" s="194">
        <v>0.28000000000000003</v>
      </c>
      <c r="J45" s="194">
        <v>25</v>
      </c>
      <c r="K45" s="194">
        <v>0.21099999999999999</v>
      </c>
      <c r="L45" s="194">
        <v>0.22900000000000001</v>
      </c>
      <c r="M45" s="194">
        <v>35</v>
      </c>
      <c r="N45" s="194">
        <v>0.126</v>
      </c>
      <c r="O45" s="194">
        <v>0.13300000000000001</v>
      </c>
      <c r="P45" s="194">
        <v>30</v>
      </c>
      <c r="Q45" s="194">
        <v>6.5000000000000002E-2</v>
      </c>
      <c r="R45" s="194">
        <v>2.5999999999999999E-2</v>
      </c>
      <c r="S45" s="194">
        <v>38</v>
      </c>
      <c r="T45" s="194">
        <v>3.2000000000000001E-2</v>
      </c>
      <c r="U45" s="194">
        <v>4.2000000000000003E-2</v>
      </c>
      <c r="V45" s="194">
        <v>24</v>
      </c>
      <c r="W45" s="194"/>
      <c r="X45" s="194"/>
      <c r="Y45" s="194"/>
      <c r="Z45" s="194"/>
      <c r="AA45" s="194"/>
      <c r="AB45" s="194"/>
      <c r="AC45" s="194"/>
      <c r="AD45" s="194"/>
      <c r="AE45" s="194"/>
      <c r="AF45" s="194"/>
      <c r="AG45" s="194"/>
      <c r="AH45" s="194"/>
      <c r="AI45" s="194"/>
      <c r="AJ45" s="194"/>
      <c r="AK45" s="194"/>
      <c r="AL45" s="140"/>
      <c r="AM45" s="140"/>
      <c r="AN45" s="140"/>
      <c r="AO45" s="140"/>
      <c r="AP45" s="140"/>
      <c r="AQ45" s="140"/>
      <c r="AR45" s="140"/>
      <c r="AS45" s="140"/>
      <c r="AT45" s="140"/>
      <c r="AU45" s="140"/>
      <c r="AV45" s="140"/>
      <c r="AW45" s="140"/>
      <c r="AX45" s="140"/>
      <c r="AY45" s="140"/>
      <c r="AZ45" s="140"/>
      <c r="BA45" s="140"/>
      <c r="BB45" s="140"/>
      <c r="BC45" s="140"/>
      <c r="BD45" s="140"/>
      <c r="BE45" s="140"/>
      <c r="BF45" s="140"/>
      <c r="BG45" s="140"/>
      <c r="BH45" s="140"/>
      <c r="BI45" s="140"/>
    </row>
    <row r="46" spans="1:61" x14ac:dyDescent="0.3">
      <c r="A46" s="193" t="s">
        <v>462</v>
      </c>
      <c r="B46" s="194">
        <v>0.58299999999999996</v>
      </c>
      <c r="C46" s="194">
        <v>0.55000000000000004</v>
      </c>
      <c r="D46" s="194">
        <v>20</v>
      </c>
      <c r="E46" s="194">
        <v>0.61299999999999999</v>
      </c>
      <c r="F46" s="194">
        <v>0.625</v>
      </c>
      <c r="G46" s="194">
        <v>16</v>
      </c>
      <c r="H46" s="194">
        <v>0.58699999999999997</v>
      </c>
      <c r="I46" s="194">
        <v>0.65400000000000003</v>
      </c>
      <c r="J46" s="194">
        <v>26</v>
      </c>
      <c r="K46" s="194">
        <v>0.59399999999999997</v>
      </c>
      <c r="L46" s="194">
        <v>0.47599999999999998</v>
      </c>
      <c r="M46" s="194">
        <v>21</v>
      </c>
      <c r="N46" s="194">
        <v>0.55700000000000005</v>
      </c>
      <c r="O46" s="194">
        <v>0.64700000000000002</v>
      </c>
      <c r="P46" s="194">
        <v>17</v>
      </c>
      <c r="Q46" s="194">
        <v>0.57099999999999995</v>
      </c>
      <c r="R46" s="194">
        <v>0.56299999999999994</v>
      </c>
      <c r="S46" s="194">
        <v>32</v>
      </c>
      <c r="T46" s="194">
        <v>0.55000000000000004</v>
      </c>
      <c r="U46" s="194">
        <v>0.53600000000000003</v>
      </c>
      <c r="V46" s="194">
        <v>28</v>
      </c>
      <c r="W46" s="194"/>
      <c r="X46" s="194"/>
      <c r="Y46" s="194"/>
      <c r="Z46" s="194"/>
      <c r="AA46" s="194"/>
      <c r="AB46" s="194"/>
      <c r="AC46" s="194"/>
      <c r="AD46" s="194"/>
      <c r="AE46" s="194"/>
      <c r="AF46" s="194"/>
      <c r="AG46" s="194"/>
      <c r="AH46" s="194"/>
      <c r="AI46" s="194"/>
      <c r="AJ46" s="194"/>
      <c r="AK46" s="194"/>
      <c r="AL46" s="140"/>
      <c r="AM46" s="140"/>
      <c r="AN46" s="140"/>
      <c r="AO46" s="140"/>
      <c r="AP46" s="140"/>
      <c r="AQ46" s="140"/>
      <c r="AR46" s="140"/>
      <c r="AS46" s="140"/>
      <c r="AT46" s="140"/>
      <c r="AU46" s="140"/>
      <c r="AV46" s="140"/>
      <c r="AW46" s="140"/>
      <c r="AX46" s="140"/>
      <c r="AY46" s="140"/>
      <c r="AZ46" s="140"/>
      <c r="BA46" s="140"/>
      <c r="BB46" s="140"/>
      <c r="BC46" s="140"/>
      <c r="BD46" s="140"/>
      <c r="BE46" s="140"/>
      <c r="BF46" s="140"/>
      <c r="BG46" s="140"/>
      <c r="BH46" s="140"/>
      <c r="BI46" s="140"/>
    </row>
    <row r="47" spans="1:61" x14ac:dyDescent="0.3">
      <c r="A47" s="193" t="s">
        <v>442</v>
      </c>
      <c r="B47" s="194">
        <v>0.58499999999999996</v>
      </c>
      <c r="C47" s="194">
        <v>0.6</v>
      </c>
      <c r="D47" s="194">
        <v>15</v>
      </c>
      <c r="E47" s="194">
        <v>0.59</v>
      </c>
      <c r="F47" s="194">
        <v>0.57699999999999996</v>
      </c>
      <c r="G47" s="194">
        <v>26</v>
      </c>
      <c r="H47" s="194">
        <v>0.56299999999999994</v>
      </c>
      <c r="I47" s="194">
        <v>0.6</v>
      </c>
      <c r="J47" s="194">
        <v>20</v>
      </c>
      <c r="K47" s="194">
        <v>0.56000000000000005</v>
      </c>
      <c r="L47" s="194">
        <v>0.5</v>
      </c>
      <c r="M47" s="194">
        <v>18</v>
      </c>
      <c r="N47" s="194">
        <v>0.48899999999999999</v>
      </c>
      <c r="O47" s="194">
        <v>0.58299999999999996</v>
      </c>
      <c r="P47" s="194">
        <v>12</v>
      </c>
      <c r="Q47" s="194">
        <v>0.44</v>
      </c>
      <c r="R47" s="194">
        <v>0.4</v>
      </c>
      <c r="S47" s="194">
        <v>15</v>
      </c>
      <c r="T47" s="194">
        <v>0.39500000000000002</v>
      </c>
      <c r="U47" s="194">
        <v>0.39100000000000001</v>
      </c>
      <c r="V47" s="194">
        <v>23</v>
      </c>
      <c r="W47" s="194"/>
      <c r="X47" s="194"/>
      <c r="Y47" s="194"/>
      <c r="Z47" s="194"/>
      <c r="AA47" s="194"/>
      <c r="AB47" s="194"/>
      <c r="AC47" s="194"/>
      <c r="AD47" s="194"/>
      <c r="AE47" s="194"/>
      <c r="AF47" s="194"/>
      <c r="AG47" s="194"/>
      <c r="AH47" s="194"/>
      <c r="AI47" s="194"/>
      <c r="AJ47" s="194"/>
      <c r="AK47" s="194"/>
      <c r="AL47" s="140"/>
      <c r="AM47" s="140"/>
      <c r="AN47" s="140"/>
      <c r="AO47" s="140"/>
      <c r="AP47" s="140"/>
      <c r="AQ47" s="140"/>
      <c r="AR47" s="140"/>
      <c r="AS47" s="140"/>
      <c r="AT47" s="140"/>
      <c r="AU47" s="140"/>
      <c r="AV47" s="140"/>
      <c r="AW47" s="140"/>
      <c r="AX47" s="140"/>
      <c r="AY47" s="140"/>
      <c r="AZ47" s="140"/>
      <c r="BA47" s="140"/>
      <c r="BB47" s="140"/>
      <c r="BC47" s="140"/>
      <c r="BD47" s="140"/>
      <c r="BE47" s="140"/>
      <c r="BF47" s="140"/>
      <c r="BG47" s="140"/>
      <c r="BH47" s="140"/>
      <c r="BI47" s="140"/>
    </row>
    <row r="48" spans="1:61" x14ac:dyDescent="0.3">
      <c r="A48" s="193" t="s">
        <v>444</v>
      </c>
      <c r="B48" s="194">
        <v>0.53300000000000003</v>
      </c>
      <c r="C48" s="194">
        <v>0.58599999999999997</v>
      </c>
      <c r="D48" s="194">
        <v>29</v>
      </c>
      <c r="E48" s="194">
        <v>0.5</v>
      </c>
      <c r="F48" s="194">
        <v>0.438</v>
      </c>
      <c r="G48" s="194">
        <v>16</v>
      </c>
      <c r="H48" s="194">
        <v>0.379</v>
      </c>
      <c r="I48" s="194">
        <v>0.42899999999999999</v>
      </c>
      <c r="J48" s="194">
        <v>21</v>
      </c>
      <c r="K48" s="194">
        <v>0.47</v>
      </c>
      <c r="L48" s="194">
        <v>0.28599999999999998</v>
      </c>
      <c r="M48" s="194">
        <v>21</v>
      </c>
      <c r="N48" s="194">
        <v>0.47099999999999997</v>
      </c>
      <c r="O48" s="194">
        <v>0.66700000000000004</v>
      </c>
      <c r="P48" s="194">
        <v>24</v>
      </c>
      <c r="Q48" s="194">
        <v>0.49299999999999999</v>
      </c>
      <c r="R48" s="194">
        <v>0.435</v>
      </c>
      <c r="S48" s="194">
        <v>23</v>
      </c>
      <c r="T48" s="194">
        <v>0.39500000000000002</v>
      </c>
      <c r="U48" s="194">
        <v>0.35</v>
      </c>
      <c r="V48" s="194">
        <v>20</v>
      </c>
      <c r="W48" s="194"/>
      <c r="X48" s="194"/>
      <c r="Y48" s="194"/>
      <c r="Z48" s="194"/>
      <c r="AA48" s="194"/>
      <c r="AB48" s="194"/>
      <c r="AC48" s="194"/>
      <c r="AD48" s="194"/>
      <c r="AE48" s="194"/>
      <c r="AF48" s="194"/>
      <c r="AG48" s="194"/>
      <c r="AH48" s="194"/>
      <c r="AI48" s="194"/>
      <c r="AJ48" s="194"/>
      <c r="AK48" s="194"/>
      <c r="AL48" s="140"/>
      <c r="AM48" s="140"/>
      <c r="AN48" s="140"/>
      <c r="AO48" s="140"/>
      <c r="AP48" s="140"/>
      <c r="AQ48" s="140"/>
      <c r="AR48" s="140"/>
      <c r="AS48" s="140"/>
      <c r="AT48" s="140"/>
      <c r="AU48" s="140"/>
      <c r="AV48" s="140"/>
      <c r="AW48" s="140"/>
      <c r="AX48" s="140"/>
      <c r="AY48" s="140"/>
      <c r="AZ48" s="140"/>
      <c r="BA48" s="140"/>
      <c r="BB48" s="140"/>
      <c r="BC48" s="140"/>
      <c r="BD48" s="140"/>
      <c r="BE48" s="140"/>
      <c r="BF48" s="140"/>
      <c r="BG48" s="140"/>
      <c r="BH48" s="140"/>
      <c r="BI48" s="140"/>
    </row>
    <row r="49" spans="1:61" x14ac:dyDescent="0.3">
      <c r="A49" s="193" t="s">
        <v>364</v>
      </c>
      <c r="B49" s="194">
        <v>0.51200000000000001</v>
      </c>
      <c r="C49" s="194">
        <v>0.36799999999999999</v>
      </c>
      <c r="D49" s="194">
        <v>19</v>
      </c>
      <c r="E49" s="194">
        <v>0.443</v>
      </c>
      <c r="F49" s="194">
        <v>0.63600000000000001</v>
      </c>
      <c r="G49" s="194">
        <v>22</v>
      </c>
      <c r="H49" s="194">
        <v>0.46600000000000003</v>
      </c>
      <c r="I49" s="194">
        <v>0.3</v>
      </c>
      <c r="J49" s="194">
        <v>20</v>
      </c>
      <c r="K49" s="194">
        <v>0.41399999999999998</v>
      </c>
      <c r="L49" s="194">
        <v>0.438</v>
      </c>
      <c r="M49" s="194">
        <v>16</v>
      </c>
      <c r="N49" s="194">
        <v>0.39700000000000002</v>
      </c>
      <c r="O49" s="194">
        <v>0.5</v>
      </c>
      <c r="P49" s="194">
        <v>22</v>
      </c>
      <c r="Q49" s="194">
        <v>0.373</v>
      </c>
      <c r="R49" s="194">
        <v>0.28000000000000003</v>
      </c>
      <c r="S49" s="194">
        <v>25</v>
      </c>
      <c r="T49" s="194">
        <v>0.32100000000000001</v>
      </c>
      <c r="U49" s="194">
        <v>0.35699999999999998</v>
      </c>
      <c r="V49" s="194">
        <v>28</v>
      </c>
      <c r="W49" s="194"/>
      <c r="X49" s="194"/>
      <c r="Y49" s="194"/>
      <c r="Z49" s="194"/>
      <c r="AA49" s="194"/>
      <c r="AB49" s="194"/>
      <c r="AC49" s="194"/>
      <c r="AD49" s="194"/>
      <c r="AE49" s="194"/>
      <c r="AF49" s="194"/>
      <c r="AG49" s="194"/>
      <c r="AH49" s="194"/>
      <c r="AI49" s="194"/>
      <c r="AJ49" s="194"/>
      <c r="AK49" s="194"/>
      <c r="AL49" s="140"/>
      <c r="AM49" s="140"/>
      <c r="AN49" s="140"/>
      <c r="AO49" s="140"/>
      <c r="AP49" s="140"/>
      <c r="AQ49" s="140"/>
      <c r="AR49" s="140"/>
      <c r="AS49" s="140"/>
      <c r="AT49" s="140"/>
      <c r="AU49" s="140"/>
      <c r="AV49" s="140"/>
      <c r="AW49" s="140"/>
      <c r="AX49" s="140"/>
      <c r="AY49" s="140"/>
      <c r="AZ49" s="140"/>
      <c r="BA49" s="140"/>
      <c r="BB49" s="140"/>
      <c r="BC49" s="140"/>
      <c r="BD49" s="140"/>
      <c r="BE49" s="140"/>
      <c r="BF49" s="140"/>
      <c r="BG49" s="140"/>
      <c r="BH49" s="140"/>
      <c r="BI49" s="140"/>
    </row>
    <row r="50" spans="1:61" x14ac:dyDescent="0.3">
      <c r="A50" s="193" t="s">
        <v>392</v>
      </c>
      <c r="B50" s="194">
        <v>0.21099999999999999</v>
      </c>
      <c r="C50" s="194">
        <v>0.111</v>
      </c>
      <c r="D50" s="194">
        <v>9</v>
      </c>
      <c r="E50" s="194">
        <v>0.30399999999999999</v>
      </c>
      <c r="F50" s="194">
        <v>0.3</v>
      </c>
      <c r="G50" s="194">
        <v>10</v>
      </c>
      <c r="H50" s="194">
        <v>0.36399999999999999</v>
      </c>
      <c r="I50" s="194">
        <v>0.75</v>
      </c>
      <c r="J50" s="194">
        <v>4</v>
      </c>
      <c r="K50" s="194">
        <v>0.41199999999999998</v>
      </c>
      <c r="L50" s="194">
        <v>0.25</v>
      </c>
      <c r="M50" s="194">
        <v>8</v>
      </c>
      <c r="N50" s="194">
        <v>0.2</v>
      </c>
      <c r="O50" s="194">
        <v>0.4</v>
      </c>
      <c r="P50" s="194">
        <v>5</v>
      </c>
      <c r="Q50" s="194">
        <v>0.15</v>
      </c>
      <c r="R50" s="194">
        <v>0</v>
      </c>
      <c r="S50" s="194">
        <v>7</v>
      </c>
      <c r="T50" s="194">
        <v>6.7000000000000004E-2</v>
      </c>
      <c r="U50" s="194">
        <v>0.125</v>
      </c>
      <c r="V50" s="194">
        <v>8</v>
      </c>
      <c r="W50" s="194"/>
      <c r="X50" s="194"/>
      <c r="Y50" s="194"/>
      <c r="Z50" s="194"/>
      <c r="AA50" s="194"/>
      <c r="AB50" s="194"/>
      <c r="AC50" s="194"/>
      <c r="AD50" s="194"/>
      <c r="AE50" s="194"/>
      <c r="AF50" s="194"/>
      <c r="AG50" s="194"/>
      <c r="AH50" s="194"/>
      <c r="AI50" s="194"/>
      <c r="AJ50" s="194"/>
      <c r="AK50" s="194"/>
      <c r="AL50" s="140"/>
      <c r="AM50" s="140"/>
      <c r="AN50" s="140"/>
      <c r="AO50" s="140"/>
      <c r="AP50" s="140"/>
      <c r="AQ50" s="140"/>
      <c r="AR50" s="140"/>
      <c r="AS50" s="140"/>
      <c r="AT50" s="140"/>
      <c r="AU50" s="140"/>
      <c r="AV50" s="140"/>
      <c r="AW50" s="140"/>
      <c r="AX50" s="140"/>
      <c r="AY50" s="140"/>
      <c r="AZ50" s="140"/>
      <c r="BA50" s="140"/>
      <c r="BB50" s="140"/>
      <c r="BC50" s="140"/>
      <c r="BD50" s="140"/>
      <c r="BE50" s="140"/>
      <c r="BF50" s="140"/>
      <c r="BG50" s="140"/>
      <c r="BH50" s="140"/>
      <c r="BI50" s="140"/>
    </row>
    <row r="51" spans="1:61" x14ac:dyDescent="0.3">
      <c r="A51" s="193" t="s">
        <v>325</v>
      </c>
      <c r="B51" s="194">
        <v>0</v>
      </c>
      <c r="C51" s="194"/>
      <c r="D51" s="194"/>
      <c r="E51" s="194">
        <v>0</v>
      </c>
      <c r="F51" s="194">
        <v>0</v>
      </c>
      <c r="G51" s="194">
        <v>3</v>
      </c>
      <c r="H51" s="194">
        <v>0</v>
      </c>
      <c r="I51" s="194">
        <v>0</v>
      </c>
      <c r="J51" s="194">
        <v>3</v>
      </c>
      <c r="K51" s="194">
        <v>0.14299999999999999</v>
      </c>
      <c r="L51" s="194">
        <v>0</v>
      </c>
      <c r="M51" s="194">
        <v>1</v>
      </c>
      <c r="N51" s="194">
        <v>0.25</v>
      </c>
      <c r="O51" s="194">
        <v>0.33300000000000002</v>
      </c>
      <c r="P51" s="194">
        <v>3</v>
      </c>
      <c r="Q51" s="194">
        <v>0.2</v>
      </c>
      <c r="R51" s="194">
        <v>0.25</v>
      </c>
      <c r="S51" s="194">
        <v>4</v>
      </c>
      <c r="T51" s="194">
        <v>0.14299999999999999</v>
      </c>
      <c r="U51" s="194">
        <v>0</v>
      </c>
      <c r="V51" s="194">
        <v>3</v>
      </c>
      <c r="W51" s="194"/>
      <c r="X51" s="194"/>
      <c r="Y51" s="194"/>
      <c r="Z51" s="194"/>
      <c r="AA51" s="194"/>
      <c r="AB51" s="194"/>
      <c r="AC51" s="194"/>
      <c r="AD51" s="194"/>
      <c r="AE51" s="194"/>
      <c r="AF51" s="194"/>
      <c r="AG51" s="194"/>
      <c r="AH51" s="194"/>
      <c r="AI51" s="194"/>
      <c r="AJ51" s="194"/>
      <c r="AK51" s="194"/>
      <c r="AL51" s="140"/>
      <c r="AM51" s="140"/>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row>
    <row r="52" spans="1:61" x14ac:dyDescent="0.3">
      <c r="A52" s="193" t="s">
        <v>478</v>
      </c>
      <c r="B52" s="194">
        <v>0.55800000000000005</v>
      </c>
      <c r="C52" s="194">
        <v>0.70799999999999996</v>
      </c>
      <c r="D52" s="194">
        <v>24</v>
      </c>
      <c r="E52" s="194">
        <v>0.45700000000000002</v>
      </c>
      <c r="F52" s="194">
        <v>0.42899999999999999</v>
      </c>
      <c r="G52" s="194">
        <v>28</v>
      </c>
      <c r="H52" s="194">
        <v>0.439</v>
      </c>
      <c r="I52" s="194">
        <v>0.16700000000000001</v>
      </c>
      <c r="J52" s="194">
        <v>18</v>
      </c>
      <c r="K52" s="194">
        <v>0.51</v>
      </c>
      <c r="L52" s="194">
        <v>0.7</v>
      </c>
      <c r="M52" s="194">
        <v>20</v>
      </c>
      <c r="N52" s="194">
        <v>0.66</v>
      </c>
      <c r="O52" s="194">
        <v>0.69199999999999995</v>
      </c>
      <c r="P52" s="194">
        <v>13</v>
      </c>
      <c r="Q52" s="194">
        <v>0.625</v>
      </c>
      <c r="R52" s="194">
        <v>0.6</v>
      </c>
      <c r="S52" s="194">
        <v>20</v>
      </c>
      <c r="T52" s="194">
        <v>0.60499999999999998</v>
      </c>
      <c r="U52" s="194">
        <v>0.60899999999999999</v>
      </c>
      <c r="V52" s="194">
        <v>23</v>
      </c>
      <c r="W52" s="194"/>
      <c r="X52" s="194"/>
      <c r="Y52" s="194"/>
      <c r="Z52" s="194"/>
      <c r="AA52" s="194"/>
      <c r="AB52" s="194"/>
      <c r="AC52" s="194"/>
      <c r="AD52" s="194"/>
      <c r="AE52" s="194"/>
      <c r="AF52" s="194"/>
      <c r="AG52" s="194"/>
      <c r="AH52" s="194"/>
      <c r="AI52" s="194"/>
      <c r="AJ52" s="194"/>
      <c r="AK52" s="194"/>
      <c r="AL52" s="140"/>
      <c r="AM52" s="140"/>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row>
    <row r="53" spans="1:61" x14ac:dyDescent="0.3">
      <c r="A53" s="193" t="s">
        <v>474</v>
      </c>
      <c r="B53" s="194">
        <v>0.16</v>
      </c>
      <c r="C53" s="194">
        <v>0.154</v>
      </c>
      <c r="D53" s="194">
        <v>13</v>
      </c>
      <c r="E53" s="194">
        <v>0.222</v>
      </c>
      <c r="F53" s="194">
        <v>0.16700000000000001</v>
      </c>
      <c r="G53" s="194">
        <v>12</v>
      </c>
      <c r="H53" s="194">
        <v>0.314</v>
      </c>
      <c r="I53" s="194">
        <v>0.36399999999999999</v>
      </c>
      <c r="J53" s="194">
        <v>11</v>
      </c>
      <c r="K53" s="194">
        <v>0.26500000000000001</v>
      </c>
      <c r="L53" s="194">
        <v>0.41699999999999998</v>
      </c>
      <c r="M53" s="194">
        <v>12</v>
      </c>
      <c r="N53" s="194">
        <v>0.22600000000000001</v>
      </c>
      <c r="O53" s="194">
        <v>0</v>
      </c>
      <c r="P53" s="194">
        <v>11</v>
      </c>
      <c r="Q53" s="194">
        <v>0.154</v>
      </c>
      <c r="R53" s="194">
        <v>0.25</v>
      </c>
      <c r="S53" s="194">
        <v>8</v>
      </c>
      <c r="T53" s="194">
        <v>0.26700000000000002</v>
      </c>
      <c r="U53" s="194">
        <v>0.28599999999999998</v>
      </c>
      <c r="V53" s="194">
        <v>7</v>
      </c>
      <c r="W53" s="194"/>
      <c r="X53" s="194"/>
      <c r="Y53" s="194"/>
      <c r="Z53" s="194"/>
      <c r="AA53" s="194"/>
      <c r="AB53" s="194"/>
      <c r="AC53" s="194"/>
      <c r="AD53" s="194"/>
      <c r="AE53" s="194"/>
      <c r="AF53" s="194"/>
      <c r="AG53" s="194"/>
      <c r="AH53" s="194"/>
      <c r="AI53" s="194"/>
      <c r="AJ53" s="194"/>
      <c r="AK53" s="194"/>
      <c r="AL53" s="140"/>
      <c r="AM53" s="140"/>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row>
    <row r="54" spans="1:61" x14ac:dyDescent="0.3">
      <c r="A54" s="193" t="s">
        <v>532</v>
      </c>
      <c r="B54" s="194">
        <v>0.77100000000000002</v>
      </c>
      <c r="C54" s="194">
        <v>0.77800000000000002</v>
      </c>
      <c r="D54" s="194">
        <v>27</v>
      </c>
      <c r="E54" s="194">
        <v>0.71599999999999997</v>
      </c>
      <c r="F54" s="194">
        <v>0.76200000000000001</v>
      </c>
      <c r="G54" s="194">
        <v>21</v>
      </c>
      <c r="H54" s="194">
        <v>0.69399999999999995</v>
      </c>
      <c r="I54" s="194">
        <v>0.65</v>
      </c>
      <c r="J54" s="194">
        <v>40</v>
      </c>
      <c r="K54" s="194">
        <v>0.65400000000000003</v>
      </c>
      <c r="L54" s="194">
        <v>0.70799999999999996</v>
      </c>
      <c r="M54" s="194">
        <v>24</v>
      </c>
      <c r="N54" s="194">
        <v>0.66200000000000003</v>
      </c>
      <c r="O54" s="194">
        <v>0.58799999999999997</v>
      </c>
      <c r="P54" s="194">
        <v>17</v>
      </c>
      <c r="Q54" s="194">
        <v>0.66700000000000004</v>
      </c>
      <c r="R54" s="194">
        <v>0.66700000000000004</v>
      </c>
      <c r="S54" s="194">
        <v>24</v>
      </c>
      <c r="T54" s="194">
        <v>0.69399999999999995</v>
      </c>
      <c r="U54" s="194">
        <v>0.72</v>
      </c>
      <c r="V54" s="194">
        <v>25</v>
      </c>
      <c r="W54" s="194"/>
      <c r="X54" s="194"/>
      <c r="Y54" s="194"/>
      <c r="Z54" s="194"/>
      <c r="AA54" s="194"/>
      <c r="AB54" s="194"/>
      <c r="AC54" s="194"/>
      <c r="AD54" s="194"/>
      <c r="AE54" s="194"/>
      <c r="AF54" s="194"/>
      <c r="AG54" s="194"/>
      <c r="AH54" s="194"/>
      <c r="AI54" s="194"/>
      <c r="AJ54" s="194"/>
      <c r="AK54" s="194"/>
      <c r="AL54" s="140"/>
      <c r="AM54" s="140"/>
      <c r="AN54" s="140"/>
      <c r="AO54" s="140"/>
      <c r="AP54" s="140"/>
      <c r="AQ54" s="140"/>
      <c r="AR54" s="140"/>
      <c r="AS54" s="140"/>
      <c r="AT54" s="140"/>
      <c r="AU54" s="140"/>
      <c r="AV54" s="140"/>
      <c r="AW54" s="140"/>
      <c r="AX54" s="140"/>
      <c r="AY54" s="140"/>
      <c r="AZ54" s="140"/>
      <c r="BA54" s="140"/>
      <c r="BB54" s="140"/>
      <c r="BC54" s="140"/>
      <c r="BD54" s="140"/>
      <c r="BE54" s="140"/>
      <c r="BF54" s="140"/>
      <c r="BG54" s="140"/>
      <c r="BH54" s="140"/>
      <c r="BI54" s="140"/>
    </row>
    <row r="55" spans="1:61" x14ac:dyDescent="0.3">
      <c r="A55" s="193" t="s">
        <v>429</v>
      </c>
      <c r="B55" s="194">
        <v>0.46300000000000002</v>
      </c>
      <c r="C55" s="194">
        <v>0.4</v>
      </c>
      <c r="D55" s="194">
        <v>20</v>
      </c>
      <c r="E55" s="194">
        <v>0.48499999999999999</v>
      </c>
      <c r="F55" s="194">
        <v>0.52400000000000002</v>
      </c>
      <c r="G55" s="194">
        <v>21</v>
      </c>
      <c r="H55" s="194">
        <v>0.47599999999999998</v>
      </c>
      <c r="I55" s="194">
        <v>0.52</v>
      </c>
      <c r="J55" s="194">
        <v>25</v>
      </c>
      <c r="K55" s="194">
        <v>0.44400000000000001</v>
      </c>
      <c r="L55" s="194">
        <v>0.35299999999999998</v>
      </c>
      <c r="M55" s="194">
        <v>17</v>
      </c>
      <c r="N55" s="194">
        <v>0.50800000000000001</v>
      </c>
      <c r="O55" s="194">
        <v>0.42899999999999999</v>
      </c>
      <c r="P55" s="194">
        <v>21</v>
      </c>
      <c r="Q55" s="194">
        <v>0.5</v>
      </c>
      <c r="R55" s="194">
        <v>0.68</v>
      </c>
      <c r="S55" s="194">
        <v>25</v>
      </c>
      <c r="T55" s="194">
        <v>0.53100000000000003</v>
      </c>
      <c r="U55" s="194">
        <v>0.375</v>
      </c>
      <c r="V55" s="194">
        <v>24</v>
      </c>
      <c r="W55" s="194"/>
      <c r="X55" s="194"/>
      <c r="Y55" s="194"/>
      <c r="Z55" s="194"/>
      <c r="AA55" s="194"/>
      <c r="AB55" s="194"/>
      <c r="AC55" s="194"/>
      <c r="AD55" s="194"/>
      <c r="AE55" s="194"/>
      <c r="AF55" s="194"/>
      <c r="AG55" s="194"/>
      <c r="AH55" s="194"/>
      <c r="AI55" s="194"/>
      <c r="AJ55" s="194"/>
      <c r="AK55" s="194"/>
      <c r="AL55" s="140"/>
      <c r="AM55" s="140"/>
      <c r="AN55" s="140"/>
      <c r="AO55" s="140"/>
      <c r="AP55" s="140"/>
      <c r="AQ55" s="140"/>
      <c r="AR55" s="140"/>
      <c r="AS55" s="140"/>
      <c r="AT55" s="140"/>
      <c r="AU55" s="140"/>
      <c r="AV55" s="140"/>
      <c r="AW55" s="140"/>
      <c r="AX55" s="140"/>
      <c r="AY55" s="140"/>
      <c r="AZ55" s="140"/>
      <c r="BA55" s="140"/>
      <c r="BB55" s="140"/>
      <c r="BC55" s="140"/>
      <c r="BD55" s="140"/>
      <c r="BE55" s="140"/>
      <c r="BF55" s="140"/>
      <c r="BG55" s="140"/>
      <c r="BH55" s="140"/>
      <c r="BI55" s="140"/>
    </row>
    <row r="56" spans="1:61" x14ac:dyDescent="0.3">
      <c r="A56" s="193" t="s">
        <v>339</v>
      </c>
      <c r="B56" s="194">
        <v>0.71399999999999997</v>
      </c>
      <c r="C56" s="194">
        <v>0.77800000000000002</v>
      </c>
      <c r="D56" s="194">
        <v>9</v>
      </c>
      <c r="E56" s="194">
        <v>0.63200000000000001</v>
      </c>
      <c r="F56" s="194">
        <v>0.6</v>
      </c>
      <c r="G56" s="194">
        <v>5</v>
      </c>
      <c r="H56" s="194">
        <v>0.38500000000000001</v>
      </c>
      <c r="I56" s="194">
        <v>0.4</v>
      </c>
      <c r="J56" s="194">
        <v>5</v>
      </c>
      <c r="K56" s="194">
        <v>0.25</v>
      </c>
      <c r="L56" s="194">
        <v>0</v>
      </c>
      <c r="M56" s="194">
        <v>3</v>
      </c>
      <c r="N56" s="194">
        <v>0.33300000000000002</v>
      </c>
      <c r="O56" s="194">
        <v>0.25</v>
      </c>
      <c r="P56" s="194">
        <v>4</v>
      </c>
      <c r="Q56" s="194">
        <v>0.33300000000000002</v>
      </c>
      <c r="R56" s="194">
        <v>1</v>
      </c>
      <c r="S56" s="194">
        <v>2</v>
      </c>
      <c r="T56" s="194">
        <v>0.4</v>
      </c>
      <c r="U56" s="194">
        <v>0</v>
      </c>
      <c r="V56" s="194">
        <v>3</v>
      </c>
      <c r="W56" s="194"/>
      <c r="X56" s="194"/>
      <c r="Y56" s="194"/>
      <c r="Z56" s="194"/>
      <c r="AA56" s="194"/>
      <c r="AB56" s="194"/>
      <c r="AC56" s="194"/>
      <c r="AD56" s="194"/>
      <c r="AE56" s="194"/>
      <c r="AF56" s="194"/>
      <c r="AG56" s="194"/>
      <c r="AH56" s="194"/>
      <c r="AI56" s="194"/>
      <c r="AJ56" s="194"/>
      <c r="AK56" s="194"/>
      <c r="AL56" s="140"/>
      <c r="AM56" s="140"/>
      <c r="AN56" s="140"/>
      <c r="AO56" s="140"/>
      <c r="AP56" s="140"/>
      <c r="AQ56" s="140"/>
      <c r="AR56" s="140"/>
      <c r="AS56" s="140"/>
      <c r="AT56" s="140"/>
      <c r="AU56" s="140"/>
      <c r="AV56" s="140"/>
      <c r="AW56" s="140"/>
      <c r="AX56" s="140"/>
      <c r="AY56" s="140"/>
      <c r="AZ56" s="140"/>
      <c r="BA56" s="140"/>
      <c r="BB56" s="140"/>
      <c r="BC56" s="140"/>
      <c r="BD56" s="140"/>
      <c r="BE56" s="140"/>
      <c r="BF56" s="140"/>
      <c r="BG56" s="140"/>
      <c r="BH56" s="140"/>
      <c r="BI56" s="140"/>
    </row>
    <row r="57" spans="1:61" x14ac:dyDescent="0.3">
      <c r="A57" s="193" t="s">
        <v>318</v>
      </c>
      <c r="B57" s="194">
        <v>0.58299999999999996</v>
      </c>
      <c r="C57" s="194">
        <v>0.8</v>
      </c>
      <c r="D57" s="194">
        <v>5</v>
      </c>
      <c r="E57" s="194">
        <v>0.5</v>
      </c>
      <c r="F57" s="194">
        <v>0.42899999999999999</v>
      </c>
      <c r="G57" s="194">
        <v>7</v>
      </c>
      <c r="H57" s="194">
        <v>0.44400000000000001</v>
      </c>
      <c r="I57" s="194">
        <v>0.33300000000000002</v>
      </c>
      <c r="J57" s="194">
        <v>6</v>
      </c>
      <c r="K57" s="194">
        <v>0.53800000000000003</v>
      </c>
      <c r="L57" s="194">
        <v>0.6</v>
      </c>
      <c r="M57" s="194">
        <v>5</v>
      </c>
      <c r="N57" s="194">
        <v>0.34799999999999998</v>
      </c>
      <c r="O57" s="194">
        <v>1</v>
      </c>
      <c r="P57" s="194">
        <v>2</v>
      </c>
      <c r="Q57" s="194">
        <v>0.38500000000000001</v>
      </c>
      <c r="R57" s="194">
        <v>0.188</v>
      </c>
      <c r="S57" s="194">
        <v>16</v>
      </c>
      <c r="T57" s="194">
        <v>0.33300000000000002</v>
      </c>
      <c r="U57" s="194">
        <v>0.625</v>
      </c>
      <c r="V57" s="194">
        <v>8</v>
      </c>
      <c r="W57" s="194"/>
      <c r="X57" s="194"/>
      <c r="Y57" s="194"/>
      <c r="Z57" s="194"/>
      <c r="AA57" s="194"/>
      <c r="AB57" s="194"/>
      <c r="AC57" s="194"/>
      <c r="AD57" s="194"/>
      <c r="AE57" s="194"/>
      <c r="AF57" s="194"/>
      <c r="AG57" s="194"/>
      <c r="AH57" s="194"/>
      <c r="AI57" s="194"/>
      <c r="AJ57" s="194"/>
      <c r="AK57" s="194"/>
      <c r="AL57" s="140"/>
      <c r="AM57" s="140"/>
      <c r="AN57" s="140"/>
      <c r="AO57" s="140"/>
      <c r="AP57" s="140"/>
      <c r="AQ57" s="140"/>
      <c r="AR57" s="140"/>
      <c r="AS57" s="140"/>
      <c r="AT57" s="140"/>
      <c r="AU57" s="140"/>
      <c r="AV57" s="140"/>
      <c r="AW57" s="140"/>
      <c r="AX57" s="140"/>
      <c r="AY57" s="140"/>
      <c r="AZ57" s="140"/>
      <c r="BA57" s="140"/>
      <c r="BB57" s="140"/>
      <c r="BC57" s="140"/>
      <c r="BD57" s="140"/>
      <c r="BE57" s="140"/>
      <c r="BF57" s="140"/>
      <c r="BG57" s="140"/>
      <c r="BH57" s="140"/>
      <c r="BI57" s="140"/>
    </row>
    <row r="58" spans="1:61" x14ac:dyDescent="0.3">
      <c r="A58" s="193" t="s">
        <v>384</v>
      </c>
      <c r="B58" s="194">
        <v>0.33900000000000002</v>
      </c>
      <c r="C58" s="194">
        <v>0.44</v>
      </c>
      <c r="D58" s="194">
        <v>25</v>
      </c>
      <c r="E58" s="194">
        <v>0.38600000000000001</v>
      </c>
      <c r="F58" s="194">
        <v>0.26500000000000001</v>
      </c>
      <c r="G58" s="194">
        <v>34</v>
      </c>
      <c r="H58" s="194">
        <v>0.376</v>
      </c>
      <c r="I58" s="194">
        <v>0.48299999999999998</v>
      </c>
      <c r="J58" s="194">
        <v>29</v>
      </c>
      <c r="K58" s="194">
        <v>0.38900000000000001</v>
      </c>
      <c r="L58" s="194">
        <v>0.40899999999999997</v>
      </c>
      <c r="M58" s="194">
        <v>22</v>
      </c>
      <c r="N58" s="194">
        <v>0.34300000000000003</v>
      </c>
      <c r="O58" s="194">
        <v>0.23799999999999999</v>
      </c>
      <c r="P58" s="194">
        <v>21</v>
      </c>
      <c r="Q58" s="194">
        <v>0.34200000000000003</v>
      </c>
      <c r="R58" s="194">
        <v>0.375</v>
      </c>
      <c r="S58" s="194">
        <v>24</v>
      </c>
      <c r="T58" s="194">
        <v>0.38500000000000001</v>
      </c>
      <c r="U58" s="194">
        <v>0.39300000000000002</v>
      </c>
      <c r="V58" s="194">
        <v>28</v>
      </c>
      <c r="W58" s="194"/>
      <c r="X58" s="194"/>
      <c r="Y58" s="194"/>
      <c r="Z58" s="194"/>
      <c r="AA58" s="194"/>
      <c r="AB58" s="194"/>
      <c r="AC58" s="194"/>
      <c r="AD58" s="194"/>
      <c r="AE58" s="194"/>
      <c r="AF58" s="194"/>
      <c r="AG58" s="194"/>
      <c r="AH58" s="194"/>
      <c r="AI58" s="194"/>
      <c r="AJ58" s="194"/>
      <c r="AK58" s="194"/>
      <c r="AL58" s="140"/>
      <c r="AM58" s="140"/>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row>
    <row r="59" spans="1:61" x14ac:dyDescent="0.3">
      <c r="A59" s="193" t="s">
        <v>464</v>
      </c>
      <c r="B59" s="194">
        <v>0.25</v>
      </c>
      <c r="C59" s="194">
        <v>0</v>
      </c>
      <c r="D59" s="194">
        <v>3</v>
      </c>
      <c r="E59" s="194">
        <v>0.25</v>
      </c>
      <c r="F59" s="194">
        <v>0.308</v>
      </c>
      <c r="G59" s="194">
        <v>13</v>
      </c>
      <c r="H59" s="194">
        <v>0.25600000000000001</v>
      </c>
      <c r="I59" s="194">
        <v>0.25</v>
      </c>
      <c r="J59" s="194">
        <v>12</v>
      </c>
      <c r="K59" s="194">
        <v>0.35099999999999998</v>
      </c>
      <c r="L59" s="194">
        <v>0.214</v>
      </c>
      <c r="M59" s="194">
        <v>14</v>
      </c>
      <c r="N59" s="194">
        <v>0.4</v>
      </c>
      <c r="O59" s="194">
        <v>0.63600000000000001</v>
      </c>
      <c r="P59" s="194">
        <v>11</v>
      </c>
      <c r="Q59" s="194">
        <v>0.41899999999999998</v>
      </c>
      <c r="R59" s="194">
        <v>0.4</v>
      </c>
      <c r="S59" s="194">
        <v>10</v>
      </c>
      <c r="T59" s="194">
        <v>0.3</v>
      </c>
      <c r="U59" s="194">
        <v>0.2</v>
      </c>
      <c r="V59" s="194">
        <v>10</v>
      </c>
      <c r="W59" s="194"/>
      <c r="X59" s="194"/>
      <c r="Y59" s="194"/>
      <c r="Z59" s="194"/>
      <c r="AA59" s="194"/>
      <c r="AB59" s="194"/>
      <c r="AC59" s="194"/>
      <c r="AD59" s="194"/>
      <c r="AE59" s="194"/>
      <c r="AF59" s="194"/>
      <c r="AG59" s="194"/>
      <c r="AH59" s="194"/>
      <c r="AI59" s="194"/>
      <c r="AJ59" s="194"/>
      <c r="AK59" s="194"/>
      <c r="AL59" s="140"/>
      <c r="AM59" s="140"/>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row>
    <row r="60" spans="1:61" x14ac:dyDescent="0.3">
      <c r="A60" s="193" t="s">
        <v>439</v>
      </c>
      <c r="B60" s="194">
        <v>0.42399999999999999</v>
      </c>
      <c r="C60" s="194">
        <v>0.41699999999999998</v>
      </c>
      <c r="D60" s="194">
        <v>36</v>
      </c>
      <c r="E60" s="194">
        <v>0.379</v>
      </c>
      <c r="F60" s="194">
        <v>0.435</v>
      </c>
      <c r="G60" s="194">
        <v>23</v>
      </c>
      <c r="H60" s="194">
        <v>0.41099999999999998</v>
      </c>
      <c r="I60" s="194">
        <v>0.28599999999999998</v>
      </c>
      <c r="J60" s="194">
        <v>28</v>
      </c>
      <c r="K60" s="194">
        <v>0.36099999999999999</v>
      </c>
      <c r="L60" s="194">
        <v>0.54500000000000004</v>
      </c>
      <c r="M60" s="194">
        <v>22</v>
      </c>
      <c r="N60" s="194">
        <v>0.39700000000000002</v>
      </c>
      <c r="O60" s="194">
        <v>0.27300000000000002</v>
      </c>
      <c r="P60" s="194">
        <v>22</v>
      </c>
      <c r="Q60" s="194">
        <v>0.379</v>
      </c>
      <c r="R60" s="194">
        <v>0.38200000000000001</v>
      </c>
      <c r="S60" s="194">
        <v>34</v>
      </c>
      <c r="T60" s="194">
        <v>0.41099999999999998</v>
      </c>
      <c r="U60" s="194">
        <v>0.436</v>
      </c>
      <c r="V60" s="194">
        <v>39</v>
      </c>
      <c r="W60" s="194"/>
      <c r="X60" s="194"/>
      <c r="Y60" s="194"/>
      <c r="Z60" s="194"/>
      <c r="AA60" s="194"/>
      <c r="AB60" s="194"/>
      <c r="AC60" s="194"/>
      <c r="AD60" s="194"/>
      <c r="AE60" s="194"/>
      <c r="AF60" s="194"/>
      <c r="AG60" s="194"/>
      <c r="AH60" s="194"/>
      <c r="AI60" s="194"/>
      <c r="AJ60" s="194"/>
      <c r="AK60" s="194"/>
      <c r="AL60" s="140"/>
      <c r="AM60" s="140"/>
      <c r="AN60" s="140"/>
      <c r="AO60" s="140"/>
      <c r="AP60" s="140"/>
      <c r="AQ60" s="140"/>
      <c r="AR60" s="140"/>
      <c r="AS60" s="140"/>
      <c r="AT60" s="140"/>
      <c r="AU60" s="140"/>
      <c r="AV60" s="140"/>
      <c r="AW60" s="140"/>
      <c r="AX60" s="140"/>
      <c r="AY60" s="140"/>
      <c r="AZ60" s="140"/>
      <c r="BA60" s="140"/>
      <c r="BB60" s="140"/>
      <c r="BC60" s="140"/>
      <c r="BD60" s="140"/>
      <c r="BE60" s="140"/>
      <c r="BF60" s="140"/>
      <c r="BG60" s="140"/>
      <c r="BH60" s="140"/>
      <c r="BI60" s="140"/>
    </row>
    <row r="61" spans="1:61" x14ac:dyDescent="0.3">
      <c r="A61" s="193" t="s">
        <v>522</v>
      </c>
      <c r="B61" s="194">
        <v>0.33300000000000002</v>
      </c>
      <c r="C61" s="194">
        <v>0.222</v>
      </c>
      <c r="D61" s="194">
        <v>9</v>
      </c>
      <c r="E61" s="194">
        <v>0.44400000000000001</v>
      </c>
      <c r="F61" s="194">
        <v>0.41699999999999998</v>
      </c>
      <c r="G61" s="194">
        <v>12</v>
      </c>
      <c r="H61" s="194">
        <v>0.48799999999999999</v>
      </c>
      <c r="I61" s="194">
        <v>0.6</v>
      </c>
      <c r="J61" s="194">
        <v>15</v>
      </c>
      <c r="K61" s="194">
        <v>0.58699999999999997</v>
      </c>
      <c r="L61" s="194">
        <v>0.438</v>
      </c>
      <c r="M61" s="194">
        <v>16</v>
      </c>
      <c r="N61" s="194">
        <v>0.52400000000000002</v>
      </c>
      <c r="O61" s="194">
        <v>0.73299999999999998</v>
      </c>
      <c r="P61" s="194">
        <v>15</v>
      </c>
      <c r="Q61" s="194">
        <v>0.55800000000000005</v>
      </c>
      <c r="R61" s="194">
        <v>0.36399999999999999</v>
      </c>
      <c r="S61" s="194">
        <v>11</v>
      </c>
      <c r="T61" s="194">
        <v>0.46400000000000002</v>
      </c>
      <c r="U61" s="194">
        <v>0.52900000000000003</v>
      </c>
      <c r="V61" s="194">
        <v>17</v>
      </c>
      <c r="W61" s="194"/>
      <c r="X61" s="194"/>
      <c r="Y61" s="194"/>
      <c r="Z61" s="194"/>
      <c r="AA61" s="194"/>
      <c r="AB61" s="194"/>
      <c r="AC61" s="194"/>
      <c r="AD61" s="194"/>
      <c r="AE61" s="194"/>
      <c r="AF61" s="194"/>
      <c r="AG61" s="194"/>
      <c r="AH61" s="194"/>
      <c r="AI61" s="194"/>
      <c r="AJ61" s="194"/>
      <c r="AK61" s="194"/>
      <c r="AL61" s="140"/>
      <c r="AM61" s="140"/>
      <c r="AN61" s="140"/>
      <c r="AO61" s="140"/>
      <c r="AP61" s="140"/>
      <c r="AQ61" s="140"/>
      <c r="AR61" s="140"/>
      <c r="AS61" s="140"/>
      <c r="AT61" s="140"/>
      <c r="AU61" s="140"/>
      <c r="AV61" s="140"/>
      <c r="AW61" s="140"/>
      <c r="AX61" s="140"/>
      <c r="AY61" s="140"/>
      <c r="AZ61" s="140"/>
      <c r="BA61" s="140"/>
      <c r="BB61" s="140"/>
      <c r="BC61" s="140"/>
      <c r="BD61" s="140"/>
      <c r="BE61" s="140"/>
      <c r="BF61" s="140"/>
      <c r="BG61" s="140"/>
      <c r="BH61" s="140"/>
      <c r="BI61" s="140"/>
    </row>
    <row r="62" spans="1:61" x14ac:dyDescent="0.3">
      <c r="A62" s="193" t="s">
        <v>508</v>
      </c>
      <c r="B62" s="194">
        <v>0.4</v>
      </c>
      <c r="C62" s="194">
        <v>0.33300000000000002</v>
      </c>
      <c r="D62" s="194">
        <v>3</v>
      </c>
      <c r="E62" s="194">
        <v>0.375</v>
      </c>
      <c r="F62" s="194">
        <v>0.5</v>
      </c>
      <c r="G62" s="194">
        <v>2</v>
      </c>
      <c r="H62" s="194">
        <v>0.33300000000000002</v>
      </c>
      <c r="I62" s="194">
        <v>0.33300000000000002</v>
      </c>
      <c r="J62" s="194">
        <v>3</v>
      </c>
      <c r="K62" s="194">
        <v>0.125</v>
      </c>
      <c r="L62" s="194">
        <v>0</v>
      </c>
      <c r="M62" s="194">
        <v>1</v>
      </c>
      <c r="N62" s="194">
        <v>0</v>
      </c>
      <c r="O62" s="194">
        <v>0</v>
      </c>
      <c r="P62" s="194">
        <v>4</v>
      </c>
      <c r="Q62" s="194">
        <v>0</v>
      </c>
      <c r="R62" s="194">
        <v>0</v>
      </c>
      <c r="S62" s="194">
        <v>1</v>
      </c>
      <c r="T62" s="194">
        <v>0</v>
      </c>
      <c r="U62" s="194">
        <v>0</v>
      </c>
      <c r="V62" s="194">
        <v>1</v>
      </c>
      <c r="W62" s="194"/>
      <c r="X62" s="194"/>
      <c r="Y62" s="194"/>
      <c r="Z62" s="194"/>
      <c r="AA62" s="194"/>
      <c r="AB62" s="194"/>
      <c r="AC62" s="194"/>
      <c r="AD62" s="194"/>
      <c r="AE62" s="194"/>
      <c r="AF62" s="194"/>
      <c r="AG62" s="194"/>
      <c r="AH62" s="194"/>
      <c r="AI62" s="194"/>
      <c r="AJ62" s="194"/>
      <c r="AK62" s="194"/>
      <c r="AL62" s="140"/>
      <c r="AM62" s="140"/>
      <c r="AN62" s="140"/>
      <c r="AO62" s="140"/>
      <c r="AP62" s="140"/>
      <c r="AQ62" s="140"/>
      <c r="AR62" s="140"/>
      <c r="AS62" s="140"/>
      <c r="AT62" s="140"/>
      <c r="AU62" s="140"/>
      <c r="AV62" s="140"/>
      <c r="AW62" s="140"/>
      <c r="AX62" s="140"/>
      <c r="AY62" s="140"/>
      <c r="AZ62" s="140"/>
      <c r="BA62" s="140"/>
      <c r="BB62" s="140"/>
      <c r="BC62" s="140"/>
      <c r="BD62" s="140"/>
      <c r="BE62" s="140"/>
      <c r="BF62" s="140"/>
      <c r="BG62" s="140"/>
      <c r="BH62" s="140"/>
      <c r="BI62" s="140"/>
    </row>
    <row r="63" spans="1:61" x14ac:dyDescent="0.3">
      <c r="A63" s="193" t="s">
        <v>506</v>
      </c>
      <c r="B63" s="194">
        <v>0.34699999999999998</v>
      </c>
      <c r="C63" s="194">
        <v>0.4</v>
      </c>
      <c r="D63" s="194">
        <v>25</v>
      </c>
      <c r="E63" s="194">
        <v>0.39100000000000001</v>
      </c>
      <c r="F63" s="194">
        <v>0.29199999999999998</v>
      </c>
      <c r="G63" s="194">
        <v>24</v>
      </c>
      <c r="H63" s="194">
        <v>0.41899999999999998</v>
      </c>
      <c r="I63" s="194">
        <v>0.5</v>
      </c>
      <c r="J63" s="194">
        <v>20</v>
      </c>
      <c r="K63" s="194">
        <v>0.46200000000000002</v>
      </c>
      <c r="L63" s="194">
        <v>0.46700000000000003</v>
      </c>
      <c r="M63" s="194">
        <v>30</v>
      </c>
      <c r="N63" s="194">
        <v>0.44400000000000001</v>
      </c>
      <c r="O63" s="194">
        <v>0.4</v>
      </c>
      <c r="P63" s="194">
        <v>15</v>
      </c>
      <c r="Q63" s="194">
        <v>0.40400000000000003</v>
      </c>
      <c r="R63" s="194">
        <v>0.44400000000000001</v>
      </c>
      <c r="S63" s="194">
        <v>18</v>
      </c>
      <c r="T63" s="194">
        <v>0.40500000000000003</v>
      </c>
      <c r="U63" s="194">
        <v>0.375</v>
      </c>
      <c r="V63" s="194">
        <v>24</v>
      </c>
      <c r="W63" s="194"/>
      <c r="X63" s="194"/>
      <c r="Y63" s="194"/>
      <c r="Z63" s="194"/>
      <c r="AA63" s="194"/>
      <c r="AB63" s="194"/>
      <c r="AC63" s="194"/>
      <c r="AD63" s="194"/>
      <c r="AE63" s="194"/>
      <c r="AF63" s="194"/>
      <c r="AG63" s="194"/>
      <c r="AH63" s="194"/>
      <c r="AI63" s="194"/>
      <c r="AJ63" s="194"/>
      <c r="AK63" s="194"/>
      <c r="AL63" s="140"/>
      <c r="AM63" s="140"/>
      <c r="AN63" s="140"/>
      <c r="AO63" s="140"/>
      <c r="AP63" s="140"/>
      <c r="AQ63" s="140"/>
      <c r="AR63" s="140"/>
      <c r="AS63" s="140"/>
      <c r="AT63" s="140"/>
      <c r="AU63" s="140"/>
      <c r="AV63" s="140"/>
      <c r="AW63" s="140"/>
      <c r="AX63" s="140"/>
      <c r="AY63" s="140"/>
      <c r="AZ63" s="140"/>
      <c r="BA63" s="140"/>
      <c r="BB63" s="140"/>
      <c r="BC63" s="140"/>
      <c r="BD63" s="140"/>
      <c r="BE63" s="140"/>
      <c r="BF63" s="140"/>
      <c r="BG63" s="140"/>
      <c r="BH63" s="140"/>
      <c r="BI63" s="140"/>
    </row>
    <row r="64" spans="1:61" x14ac:dyDescent="0.3">
      <c r="A64" s="193" t="s">
        <v>550</v>
      </c>
      <c r="B64" s="194">
        <v>0.57099999999999995</v>
      </c>
      <c r="C64" s="194">
        <v>0.6</v>
      </c>
      <c r="D64" s="194">
        <v>5</v>
      </c>
      <c r="E64" s="194">
        <v>0.33300000000000002</v>
      </c>
      <c r="F64" s="194">
        <v>0.5</v>
      </c>
      <c r="G64" s="194">
        <v>2</v>
      </c>
      <c r="H64" s="194">
        <v>0.21099999999999999</v>
      </c>
      <c r="I64" s="194">
        <v>0.125</v>
      </c>
      <c r="J64" s="194">
        <v>8</v>
      </c>
      <c r="K64" s="194">
        <v>0.29199999999999998</v>
      </c>
      <c r="L64" s="194">
        <v>0.222</v>
      </c>
      <c r="M64" s="194">
        <v>9</v>
      </c>
      <c r="N64" s="194">
        <v>0.35299999999999998</v>
      </c>
      <c r="O64" s="194">
        <v>0.57099999999999995</v>
      </c>
      <c r="P64" s="194">
        <v>7</v>
      </c>
      <c r="Q64" s="194">
        <v>0.46200000000000002</v>
      </c>
      <c r="R64" s="194">
        <v>0</v>
      </c>
      <c r="S64" s="194">
        <v>1</v>
      </c>
      <c r="T64" s="194">
        <v>0.33300000000000002</v>
      </c>
      <c r="U64" s="194">
        <v>0.4</v>
      </c>
      <c r="V64" s="194">
        <v>5</v>
      </c>
      <c r="W64" s="194"/>
      <c r="X64" s="194"/>
      <c r="Y64" s="194"/>
      <c r="Z64" s="194"/>
      <c r="AA64" s="194"/>
      <c r="AB64" s="194"/>
      <c r="AC64" s="194"/>
      <c r="AD64" s="194"/>
      <c r="AE64" s="194"/>
      <c r="AF64" s="194"/>
      <c r="AG64" s="194"/>
      <c r="AH64" s="194"/>
      <c r="AI64" s="194"/>
      <c r="AJ64" s="194"/>
      <c r="AK64" s="194"/>
      <c r="AL64" s="140"/>
      <c r="AM64" s="140"/>
      <c r="AN64" s="140"/>
      <c r="AO64" s="140"/>
      <c r="AP64" s="140"/>
      <c r="AQ64" s="140"/>
      <c r="AR64" s="140"/>
      <c r="AS64" s="140"/>
      <c r="AT64" s="140"/>
      <c r="AU64" s="140"/>
      <c r="AV64" s="140"/>
      <c r="AW64" s="140"/>
      <c r="AX64" s="140"/>
      <c r="AY64" s="140"/>
      <c r="AZ64" s="140"/>
      <c r="BA64" s="140"/>
      <c r="BB64" s="140"/>
      <c r="BC64" s="140"/>
      <c r="BD64" s="140"/>
      <c r="BE64" s="140"/>
      <c r="BF64" s="140"/>
      <c r="BG64" s="140"/>
      <c r="BH64" s="140"/>
      <c r="BI64" s="140"/>
    </row>
    <row r="65" spans="1:61" x14ac:dyDescent="0.3">
      <c r="A65" s="193" t="s">
        <v>356</v>
      </c>
      <c r="B65" s="194">
        <v>0.33300000000000002</v>
      </c>
      <c r="C65" s="194">
        <v>0.125</v>
      </c>
      <c r="D65" s="194">
        <v>8</v>
      </c>
      <c r="E65" s="194">
        <v>0.29199999999999998</v>
      </c>
      <c r="F65" s="194">
        <v>0.5</v>
      </c>
      <c r="G65" s="194">
        <v>10</v>
      </c>
      <c r="H65" s="194">
        <v>0.34799999999999998</v>
      </c>
      <c r="I65" s="194">
        <v>0.16700000000000001</v>
      </c>
      <c r="J65" s="194">
        <v>6</v>
      </c>
      <c r="K65" s="194">
        <v>0.25</v>
      </c>
      <c r="L65" s="194">
        <v>0.28599999999999998</v>
      </c>
      <c r="M65" s="194">
        <v>7</v>
      </c>
      <c r="N65" s="194">
        <v>0.375</v>
      </c>
      <c r="O65" s="194">
        <v>0.28599999999999998</v>
      </c>
      <c r="P65" s="194">
        <v>7</v>
      </c>
      <c r="Q65" s="194">
        <v>0.45500000000000002</v>
      </c>
      <c r="R65" s="194">
        <v>1</v>
      </c>
      <c r="S65" s="194">
        <v>2</v>
      </c>
      <c r="T65" s="194">
        <v>0.75</v>
      </c>
      <c r="U65" s="194">
        <v>0.5</v>
      </c>
      <c r="V65" s="194">
        <v>2</v>
      </c>
      <c r="W65" s="194"/>
      <c r="X65" s="194"/>
      <c r="Y65" s="194"/>
      <c r="Z65" s="194"/>
      <c r="AA65" s="194"/>
      <c r="AB65" s="194"/>
      <c r="AC65" s="194"/>
      <c r="AD65" s="194"/>
      <c r="AE65" s="194"/>
      <c r="AF65" s="194"/>
      <c r="AG65" s="194"/>
      <c r="AH65" s="194"/>
      <c r="AI65" s="194"/>
      <c r="AJ65" s="194"/>
      <c r="AK65" s="194"/>
      <c r="AL65" s="140"/>
      <c r="AM65" s="140"/>
      <c r="AN65" s="140"/>
      <c r="AO65" s="140"/>
      <c r="AP65" s="140"/>
      <c r="AQ65" s="140"/>
      <c r="AR65" s="140"/>
      <c r="AS65" s="140"/>
      <c r="AT65" s="140"/>
      <c r="AU65" s="140"/>
      <c r="AV65" s="140"/>
      <c r="AW65" s="140"/>
      <c r="AX65" s="140"/>
      <c r="AY65" s="140"/>
      <c r="AZ65" s="140"/>
      <c r="BA65" s="140"/>
      <c r="BB65" s="140"/>
      <c r="BC65" s="140"/>
      <c r="BD65" s="140"/>
      <c r="BE65" s="140"/>
      <c r="BF65" s="140"/>
      <c r="BG65" s="140"/>
      <c r="BH65" s="140"/>
      <c r="BI65" s="140"/>
    </row>
    <row r="66" spans="1:61" x14ac:dyDescent="0.3">
      <c r="A66" s="193" t="s">
        <v>414</v>
      </c>
      <c r="B66" s="194">
        <v>0.72899999999999998</v>
      </c>
      <c r="C66" s="194">
        <v>0.66700000000000004</v>
      </c>
      <c r="D66" s="194">
        <v>36</v>
      </c>
      <c r="E66" s="194">
        <v>0.61799999999999999</v>
      </c>
      <c r="F66" s="194">
        <v>0.82599999999999996</v>
      </c>
      <c r="G66" s="194">
        <v>23</v>
      </c>
      <c r="H66" s="194">
        <v>0.61199999999999999</v>
      </c>
      <c r="I66" s="194">
        <v>0.46500000000000002</v>
      </c>
      <c r="J66" s="194">
        <v>43</v>
      </c>
      <c r="K66" s="194">
        <v>0.60199999999999998</v>
      </c>
      <c r="L66" s="194">
        <v>0.64900000000000002</v>
      </c>
      <c r="M66" s="194">
        <v>37</v>
      </c>
      <c r="N66" s="194">
        <v>0.67800000000000005</v>
      </c>
      <c r="O66" s="194">
        <v>0.78300000000000003</v>
      </c>
      <c r="P66" s="194">
        <v>23</v>
      </c>
      <c r="Q66" s="194">
        <v>0.67100000000000004</v>
      </c>
      <c r="R66" s="194">
        <v>0.63300000000000001</v>
      </c>
      <c r="S66" s="194">
        <v>30</v>
      </c>
      <c r="T66" s="194">
        <v>0.62</v>
      </c>
      <c r="U66" s="194">
        <v>0.6</v>
      </c>
      <c r="V66" s="194">
        <v>20</v>
      </c>
      <c r="W66" s="194"/>
      <c r="X66" s="194"/>
      <c r="Y66" s="194"/>
      <c r="Z66" s="194"/>
      <c r="AA66" s="194"/>
      <c r="AB66" s="194"/>
      <c r="AC66" s="194"/>
      <c r="AD66" s="194"/>
      <c r="AE66" s="194"/>
      <c r="AF66" s="194"/>
      <c r="AG66" s="194"/>
      <c r="AH66" s="194"/>
      <c r="AI66" s="194"/>
      <c r="AJ66" s="194"/>
      <c r="AK66" s="194"/>
      <c r="AL66" s="140"/>
      <c r="AM66" s="140"/>
      <c r="AN66" s="140"/>
      <c r="AO66" s="140"/>
      <c r="AP66" s="140"/>
      <c r="AQ66" s="140"/>
      <c r="AR66" s="140"/>
      <c r="AS66" s="140"/>
      <c r="AT66" s="140"/>
      <c r="AU66" s="140"/>
      <c r="AV66" s="140"/>
      <c r="AW66" s="140"/>
      <c r="AX66" s="140"/>
      <c r="AY66" s="140"/>
      <c r="AZ66" s="140"/>
      <c r="BA66" s="140"/>
      <c r="BB66" s="140"/>
      <c r="BC66" s="140"/>
      <c r="BD66" s="140"/>
      <c r="BE66" s="140"/>
      <c r="BF66" s="140"/>
      <c r="BG66" s="140"/>
      <c r="BH66" s="140"/>
      <c r="BI66" s="140"/>
    </row>
    <row r="67" spans="1:61" x14ac:dyDescent="0.3">
      <c r="A67" s="193" t="s">
        <v>456</v>
      </c>
      <c r="B67" s="194">
        <v>0.36799999999999999</v>
      </c>
      <c r="C67" s="194">
        <v>0.40400000000000003</v>
      </c>
      <c r="D67" s="194">
        <v>47</v>
      </c>
      <c r="E67" s="194">
        <v>0.40300000000000002</v>
      </c>
      <c r="F67" s="194">
        <v>0.32500000000000001</v>
      </c>
      <c r="G67" s="194">
        <v>40</v>
      </c>
      <c r="H67" s="194">
        <v>0.40400000000000003</v>
      </c>
      <c r="I67" s="194">
        <v>0.47599999999999998</v>
      </c>
      <c r="J67" s="194">
        <v>42</v>
      </c>
      <c r="K67" s="194">
        <v>0.5</v>
      </c>
      <c r="L67" s="194">
        <v>0.40699999999999997</v>
      </c>
      <c r="M67" s="194">
        <v>27</v>
      </c>
      <c r="N67" s="194">
        <v>0.505</v>
      </c>
      <c r="O67" s="194">
        <v>0.59</v>
      </c>
      <c r="P67" s="194">
        <v>39</v>
      </c>
      <c r="Q67" s="194">
        <v>0.48799999999999999</v>
      </c>
      <c r="R67" s="194">
        <v>0.48599999999999999</v>
      </c>
      <c r="S67" s="194">
        <v>37</v>
      </c>
      <c r="T67" s="194">
        <v>0.439</v>
      </c>
      <c r="U67" s="194">
        <v>0.4</v>
      </c>
      <c r="V67" s="194">
        <v>45</v>
      </c>
      <c r="W67" s="194"/>
      <c r="X67" s="194"/>
      <c r="Y67" s="194"/>
      <c r="Z67" s="194"/>
      <c r="AA67" s="194"/>
      <c r="AB67" s="194"/>
      <c r="AC67" s="194"/>
      <c r="AD67" s="194"/>
      <c r="AE67" s="194"/>
      <c r="AF67" s="194"/>
      <c r="AG67" s="194"/>
      <c r="AH67" s="194"/>
      <c r="AI67" s="194"/>
      <c r="AJ67" s="194"/>
      <c r="AK67" s="194"/>
      <c r="AL67" s="140"/>
      <c r="AM67" s="140"/>
      <c r="AN67" s="140"/>
      <c r="AO67" s="140"/>
      <c r="AP67" s="140"/>
      <c r="AQ67" s="140"/>
      <c r="AR67" s="140"/>
      <c r="AS67" s="140"/>
      <c r="AT67" s="140"/>
      <c r="AU67" s="140"/>
      <c r="AV67" s="140"/>
      <c r="AW67" s="140"/>
      <c r="AX67" s="140"/>
      <c r="AY67" s="140"/>
      <c r="AZ67" s="140"/>
      <c r="BA67" s="140"/>
      <c r="BB67" s="140"/>
      <c r="BC67" s="140"/>
      <c r="BD67" s="140"/>
      <c r="BE67" s="140"/>
      <c r="BF67" s="140"/>
      <c r="BG67" s="140"/>
      <c r="BH67" s="140"/>
      <c r="BI67" s="140"/>
    </row>
    <row r="68" spans="1:61" x14ac:dyDescent="0.3">
      <c r="A68" s="193" t="s">
        <v>293</v>
      </c>
      <c r="B68" s="194">
        <v>0.41199999999999998</v>
      </c>
      <c r="C68" s="194">
        <v>0.5</v>
      </c>
      <c r="D68" s="194">
        <v>6</v>
      </c>
      <c r="E68" s="194">
        <v>0.47599999999999998</v>
      </c>
      <c r="F68" s="194">
        <v>0.36399999999999999</v>
      </c>
      <c r="G68" s="194">
        <v>11</v>
      </c>
      <c r="H68" s="194">
        <v>0.44400000000000001</v>
      </c>
      <c r="I68" s="194">
        <v>0.75</v>
      </c>
      <c r="J68" s="194">
        <v>4</v>
      </c>
      <c r="K68" s="194">
        <v>0.4</v>
      </c>
      <c r="L68" s="194">
        <v>0.33300000000000002</v>
      </c>
      <c r="M68" s="194">
        <v>3</v>
      </c>
      <c r="N68" s="194">
        <v>0.46700000000000003</v>
      </c>
      <c r="O68" s="194">
        <v>0.25</v>
      </c>
      <c r="P68" s="194">
        <v>8</v>
      </c>
      <c r="Q68" s="194">
        <v>0.51200000000000001</v>
      </c>
      <c r="R68" s="194">
        <v>0.57899999999999996</v>
      </c>
      <c r="S68" s="194">
        <v>19</v>
      </c>
      <c r="T68" s="194">
        <v>0.57599999999999996</v>
      </c>
      <c r="U68" s="194">
        <v>0.57099999999999995</v>
      </c>
      <c r="V68" s="194">
        <v>14</v>
      </c>
      <c r="W68" s="194"/>
      <c r="X68" s="194"/>
      <c r="Y68" s="194"/>
      <c r="Z68" s="194"/>
      <c r="AA68" s="194"/>
      <c r="AB68" s="194"/>
      <c r="AC68" s="194"/>
      <c r="AD68" s="194"/>
      <c r="AE68" s="194"/>
      <c r="AF68" s="194"/>
      <c r="AG68" s="194"/>
      <c r="AH68" s="194"/>
      <c r="AI68" s="194"/>
      <c r="AJ68" s="194"/>
      <c r="AK68" s="194"/>
      <c r="AL68" s="140"/>
      <c r="AM68" s="140"/>
      <c r="AN68" s="140"/>
      <c r="AO68" s="140"/>
      <c r="AP68" s="140"/>
      <c r="AQ68" s="140"/>
      <c r="AR68" s="140"/>
      <c r="AS68" s="140"/>
      <c r="AT68" s="140"/>
      <c r="AU68" s="140"/>
      <c r="AV68" s="140"/>
      <c r="AW68" s="140"/>
      <c r="AX68" s="140"/>
      <c r="AY68" s="140"/>
      <c r="AZ68" s="140"/>
      <c r="BA68" s="140"/>
      <c r="BB68" s="140"/>
      <c r="BC68" s="140"/>
      <c r="BD68" s="140"/>
      <c r="BE68" s="140"/>
      <c r="BF68" s="140"/>
      <c r="BG68" s="140"/>
      <c r="BH68" s="140"/>
      <c r="BI68" s="140"/>
    </row>
    <row r="69" spans="1:61" x14ac:dyDescent="0.3">
      <c r="A69" s="193" t="s">
        <v>486</v>
      </c>
      <c r="B69" s="194">
        <v>0.6</v>
      </c>
      <c r="C69" s="194">
        <v>0</v>
      </c>
      <c r="D69" s="194">
        <v>3</v>
      </c>
      <c r="E69" s="194">
        <v>0.625</v>
      </c>
      <c r="F69" s="194">
        <v>0.85699999999999998</v>
      </c>
      <c r="G69" s="194">
        <v>7</v>
      </c>
      <c r="H69" s="194">
        <v>0.78900000000000003</v>
      </c>
      <c r="I69" s="194">
        <v>0.66700000000000004</v>
      </c>
      <c r="J69" s="194">
        <v>6</v>
      </c>
      <c r="K69" s="194">
        <v>0.625</v>
      </c>
      <c r="L69" s="194">
        <v>0.83299999999999996</v>
      </c>
      <c r="M69" s="194">
        <v>6</v>
      </c>
      <c r="N69" s="194">
        <v>0.5</v>
      </c>
      <c r="O69" s="194">
        <v>0.25</v>
      </c>
      <c r="P69" s="194">
        <v>4</v>
      </c>
      <c r="Q69" s="194">
        <v>0.29399999999999998</v>
      </c>
      <c r="R69" s="194">
        <v>0.33300000000000002</v>
      </c>
      <c r="S69" s="194">
        <v>6</v>
      </c>
      <c r="T69" s="194">
        <v>0.308</v>
      </c>
      <c r="U69" s="194">
        <v>0.28599999999999998</v>
      </c>
      <c r="V69" s="194">
        <v>7</v>
      </c>
      <c r="W69" s="194"/>
      <c r="X69" s="194"/>
      <c r="Y69" s="194"/>
      <c r="Z69" s="194"/>
      <c r="AA69" s="194"/>
      <c r="AB69" s="194"/>
      <c r="AC69" s="194"/>
      <c r="AD69" s="194"/>
      <c r="AE69" s="194"/>
      <c r="AF69" s="194"/>
      <c r="AG69" s="194"/>
      <c r="AH69" s="194"/>
      <c r="AI69" s="194"/>
      <c r="AJ69" s="194"/>
      <c r="AK69" s="194"/>
      <c r="AL69" s="140"/>
      <c r="AM69" s="140"/>
      <c r="AN69" s="140"/>
      <c r="AO69" s="140"/>
      <c r="AP69" s="140"/>
      <c r="AQ69" s="140"/>
      <c r="AR69" s="140"/>
      <c r="AS69" s="140"/>
      <c r="AT69" s="140"/>
      <c r="AU69" s="140"/>
      <c r="AV69" s="140"/>
      <c r="AW69" s="140"/>
      <c r="AX69" s="140"/>
      <c r="AY69" s="140"/>
      <c r="AZ69" s="140"/>
      <c r="BA69" s="140"/>
      <c r="BB69" s="140"/>
      <c r="BC69" s="140"/>
      <c r="BD69" s="140"/>
      <c r="BE69" s="140"/>
      <c r="BF69" s="140"/>
      <c r="BG69" s="140"/>
      <c r="BH69" s="140"/>
      <c r="BI69" s="140"/>
    </row>
    <row r="70" spans="1:61" x14ac:dyDescent="0.3">
      <c r="A70" s="193" t="s">
        <v>362</v>
      </c>
      <c r="B70" s="194">
        <v>0.61899999999999999</v>
      </c>
      <c r="C70" s="194">
        <v>0.6</v>
      </c>
      <c r="D70" s="194">
        <v>15</v>
      </c>
      <c r="E70" s="194">
        <v>0.61499999999999999</v>
      </c>
      <c r="F70" s="194">
        <v>0.66700000000000004</v>
      </c>
      <c r="G70" s="194">
        <v>6</v>
      </c>
      <c r="H70" s="194">
        <v>0.63600000000000001</v>
      </c>
      <c r="I70" s="194">
        <v>0.6</v>
      </c>
      <c r="J70" s="194">
        <v>5</v>
      </c>
      <c r="K70" s="194">
        <v>0.5</v>
      </c>
      <c r="L70" s="194">
        <v>0.63600000000000001</v>
      </c>
      <c r="M70" s="194">
        <v>11</v>
      </c>
      <c r="N70" s="194">
        <v>0.38700000000000001</v>
      </c>
      <c r="O70" s="194">
        <v>0.16700000000000001</v>
      </c>
      <c r="P70" s="194">
        <v>6</v>
      </c>
      <c r="Q70" s="194">
        <v>0.32100000000000001</v>
      </c>
      <c r="R70" s="194">
        <v>0.28599999999999998</v>
      </c>
      <c r="S70" s="194">
        <v>14</v>
      </c>
      <c r="T70" s="194">
        <v>0.36399999999999999</v>
      </c>
      <c r="U70" s="194">
        <v>0.5</v>
      </c>
      <c r="V70" s="194">
        <v>8</v>
      </c>
      <c r="W70" s="194"/>
      <c r="X70" s="194"/>
      <c r="Y70" s="194"/>
      <c r="Z70" s="194"/>
      <c r="AA70" s="194"/>
      <c r="AB70" s="194"/>
      <c r="AC70" s="194"/>
      <c r="AD70" s="194"/>
      <c r="AE70" s="194"/>
      <c r="AF70" s="194"/>
      <c r="AG70" s="194"/>
      <c r="AH70" s="194"/>
      <c r="AI70" s="194"/>
      <c r="AJ70" s="194"/>
      <c r="AK70" s="194"/>
      <c r="AL70" s="140"/>
      <c r="AM70" s="140"/>
      <c r="AN70" s="140"/>
      <c r="AO70" s="140"/>
      <c r="AP70" s="140"/>
      <c r="AQ70" s="140"/>
      <c r="AR70" s="140"/>
      <c r="AS70" s="140"/>
      <c r="AT70" s="140"/>
      <c r="AU70" s="140"/>
      <c r="AV70" s="140"/>
      <c r="AW70" s="140"/>
      <c r="AX70" s="140"/>
      <c r="AY70" s="140"/>
      <c r="AZ70" s="140"/>
      <c r="BA70" s="140"/>
      <c r="BB70" s="140"/>
      <c r="BC70" s="140"/>
      <c r="BD70" s="140"/>
      <c r="BE70" s="140"/>
      <c r="BF70" s="140"/>
      <c r="BG70" s="140"/>
      <c r="BH70" s="140"/>
      <c r="BI70" s="140"/>
    </row>
    <row r="71" spans="1:61" x14ac:dyDescent="0.3">
      <c r="A71" s="193" t="s">
        <v>367</v>
      </c>
      <c r="B71" s="194">
        <v>0.29199999999999998</v>
      </c>
      <c r="C71" s="194">
        <v>0.2</v>
      </c>
      <c r="D71" s="194">
        <v>20</v>
      </c>
      <c r="E71" s="194">
        <v>0.28599999999999998</v>
      </c>
      <c r="F71" s="194">
        <v>0.35699999999999998</v>
      </c>
      <c r="G71" s="194">
        <v>28</v>
      </c>
      <c r="H71" s="194">
        <v>0.307</v>
      </c>
      <c r="I71" s="194">
        <v>0.27300000000000002</v>
      </c>
      <c r="J71" s="194">
        <v>22</v>
      </c>
      <c r="K71" s="194">
        <v>0.26900000000000002</v>
      </c>
      <c r="L71" s="194">
        <v>0.28000000000000003</v>
      </c>
      <c r="M71" s="194">
        <v>25</v>
      </c>
      <c r="N71" s="194">
        <v>0.28599999999999998</v>
      </c>
      <c r="O71" s="194">
        <v>0.25</v>
      </c>
      <c r="P71" s="194">
        <v>20</v>
      </c>
      <c r="Q71" s="194">
        <v>0.28599999999999998</v>
      </c>
      <c r="R71" s="194">
        <v>0.313</v>
      </c>
      <c r="S71" s="194">
        <v>32</v>
      </c>
      <c r="T71" s="194">
        <v>0.29599999999999999</v>
      </c>
      <c r="U71" s="194">
        <v>0.28199999999999997</v>
      </c>
      <c r="V71" s="194">
        <v>39</v>
      </c>
      <c r="W71" s="194"/>
      <c r="X71" s="194"/>
      <c r="Y71" s="194"/>
      <c r="Z71" s="194"/>
      <c r="AA71" s="194"/>
      <c r="AB71" s="194"/>
      <c r="AC71" s="194"/>
      <c r="AD71" s="194"/>
      <c r="AE71" s="194"/>
      <c r="AF71" s="194"/>
      <c r="AG71" s="194"/>
      <c r="AH71" s="194"/>
      <c r="AI71" s="194"/>
      <c r="AJ71" s="194"/>
      <c r="AK71" s="194"/>
      <c r="AL71" s="140"/>
      <c r="AM71" s="140"/>
      <c r="AN71" s="140"/>
      <c r="AO71" s="140"/>
      <c r="AP71" s="140"/>
      <c r="AQ71" s="140"/>
      <c r="AR71" s="140"/>
      <c r="AS71" s="140"/>
      <c r="AT71" s="140"/>
      <c r="AU71" s="140"/>
      <c r="AV71" s="140"/>
      <c r="AW71" s="140"/>
      <c r="AX71" s="140"/>
      <c r="AY71" s="140"/>
      <c r="AZ71" s="140"/>
      <c r="BA71" s="140"/>
      <c r="BB71" s="140"/>
      <c r="BC71" s="140"/>
      <c r="BD71" s="140"/>
      <c r="BE71" s="140"/>
      <c r="BF71" s="140"/>
      <c r="BG71" s="140"/>
      <c r="BH71" s="140"/>
      <c r="BI71" s="140"/>
    </row>
    <row r="72" spans="1:61" x14ac:dyDescent="0.3">
      <c r="A72" s="193" t="s">
        <v>327</v>
      </c>
      <c r="B72" s="194">
        <v>0.19</v>
      </c>
      <c r="C72" s="194">
        <v>0</v>
      </c>
      <c r="D72" s="194">
        <v>3</v>
      </c>
      <c r="E72" s="194">
        <v>0.36099999999999999</v>
      </c>
      <c r="F72" s="194">
        <v>0.222</v>
      </c>
      <c r="G72" s="194">
        <v>18</v>
      </c>
      <c r="H72" s="194">
        <v>0.432</v>
      </c>
      <c r="I72" s="194">
        <v>0.6</v>
      </c>
      <c r="J72" s="194">
        <v>15</v>
      </c>
      <c r="K72" s="194">
        <v>0.55300000000000005</v>
      </c>
      <c r="L72" s="194">
        <v>0.54500000000000004</v>
      </c>
      <c r="M72" s="194">
        <v>11</v>
      </c>
      <c r="N72" s="194">
        <v>0.45</v>
      </c>
      <c r="O72" s="194">
        <v>0.5</v>
      </c>
      <c r="P72" s="194">
        <v>12</v>
      </c>
      <c r="Q72" s="194">
        <v>0.52400000000000002</v>
      </c>
      <c r="R72" s="194">
        <v>0.35299999999999998</v>
      </c>
      <c r="S72" s="194">
        <v>17</v>
      </c>
      <c r="T72" s="194">
        <v>0.53300000000000003</v>
      </c>
      <c r="U72" s="194">
        <v>0.76900000000000002</v>
      </c>
      <c r="V72" s="194">
        <v>13</v>
      </c>
      <c r="W72" s="194"/>
      <c r="X72" s="194"/>
      <c r="Y72" s="194"/>
      <c r="Z72" s="194"/>
      <c r="AA72" s="194"/>
      <c r="AB72" s="194"/>
      <c r="AC72" s="194"/>
      <c r="AD72" s="194"/>
      <c r="AE72" s="194"/>
      <c r="AF72" s="194"/>
      <c r="AG72" s="194"/>
      <c r="AH72" s="194"/>
      <c r="AI72" s="194"/>
      <c r="AJ72" s="194"/>
      <c r="AK72" s="194"/>
      <c r="AL72" s="140"/>
      <c r="AM72" s="140"/>
      <c r="AN72" s="140"/>
      <c r="AO72" s="140"/>
      <c r="AP72" s="140"/>
      <c r="AQ72" s="140"/>
      <c r="AR72" s="140"/>
      <c r="AS72" s="140"/>
      <c r="AT72" s="140"/>
      <c r="AU72" s="140"/>
      <c r="AV72" s="140"/>
      <c r="AW72" s="140"/>
      <c r="AX72" s="140"/>
      <c r="AY72" s="140"/>
      <c r="AZ72" s="140"/>
      <c r="BA72" s="140"/>
      <c r="BB72" s="140"/>
      <c r="BC72" s="140"/>
      <c r="BD72" s="140"/>
      <c r="BE72" s="140"/>
      <c r="BF72" s="140"/>
      <c r="BG72" s="140"/>
      <c r="BH72" s="140"/>
      <c r="BI72" s="140"/>
    </row>
    <row r="73" spans="1:61" x14ac:dyDescent="0.3">
      <c r="A73" s="193" t="s">
        <v>492</v>
      </c>
      <c r="B73" s="194">
        <v>0.41699999999999998</v>
      </c>
      <c r="C73" s="194">
        <v>0.53800000000000003</v>
      </c>
      <c r="D73" s="194">
        <v>13</v>
      </c>
      <c r="E73" s="194">
        <v>0.41</v>
      </c>
      <c r="F73" s="194">
        <v>0.27300000000000002</v>
      </c>
      <c r="G73" s="194">
        <v>11</v>
      </c>
      <c r="H73" s="194">
        <v>0.28799999999999998</v>
      </c>
      <c r="I73" s="194">
        <v>0.4</v>
      </c>
      <c r="J73" s="194">
        <v>15</v>
      </c>
      <c r="K73" s="194">
        <v>0.317</v>
      </c>
      <c r="L73" s="194">
        <v>0.23100000000000001</v>
      </c>
      <c r="M73" s="194">
        <v>26</v>
      </c>
      <c r="N73" s="194">
        <v>0.32900000000000001</v>
      </c>
      <c r="O73" s="194">
        <v>0.36399999999999999</v>
      </c>
      <c r="P73" s="194">
        <v>22</v>
      </c>
      <c r="Q73" s="194">
        <v>0.33800000000000002</v>
      </c>
      <c r="R73" s="194">
        <v>0.39300000000000002</v>
      </c>
      <c r="S73" s="194">
        <v>28</v>
      </c>
      <c r="T73" s="194">
        <v>0.32600000000000001</v>
      </c>
      <c r="U73" s="194">
        <v>0.222</v>
      </c>
      <c r="V73" s="194">
        <v>18</v>
      </c>
      <c r="W73" s="194"/>
      <c r="X73" s="194"/>
      <c r="Y73" s="194"/>
      <c r="Z73" s="194"/>
      <c r="AA73" s="194"/>
      <c r="AB73" s="194"/>
      <c r="AC73" s="194"/>
      <c r="AD73" s="194"/>
      <c r="AE73" s="194"/>
      <c r="AF73" s="194"/>
      <c r="AG73" s="194"/>
      <c r="AH73" s="194"/>
      <c r="AI73" s="194"/>
      <c r="AJ73" s="194"/>
      <c r="AK73" s="194"/>
      <c r="AL73" s="140"/>
      <c r="AM73" s="140"/>
      <c r="AN73" s="140"/>
      <c r="AO73" s="140"/>
      <c r="AP73" s="140"/>
      <c r="AQ73" s="140"/>
      <c r="AR73" s="140"/>
      <c r="AS73" s="140"/>
      <c r="AT73" s="140"/>
      <c r="AU73" s="140"/>
      <c r="AV73" s="140"/>
      <c r="AW73" s="140"/>
      <c r="AX73" s="140"/>
      <c r="AY73" s="140"/>
      <c r="AZ73" s="140"/>
      <c r="BA73" s="140"/>
      <c r="BB73" s="140"/>
      <c r="BC73" s="140"/>
      <c r="BD73" s="140"/>
      <c r="BE73" s="140"/>
      <c r="BF73" s="140"/>
      <c r="BG73" s="140"/>
      <c r="BH73" s="140"/>
      <c r="BI73" s="140"/>
    </row>
    <row r="74" spans="1:61" x14ac:dyDescent="0.3">
      <c r="A74" s="193" t="s">
        <v>418</v>
      </c>
      <c r="B74" s="194">
        <v>0.42099999999999999</v>
      </c>
      <c r="C74" s="194">
        <v>0.36399999999999999</v>
      </c>
      <c r="D74" s="194">
        <v>11</v>
      </c>
      <c r="E74" s="194">
        <v>0.34499999999999997</v>
      </c>
      <c r="F74" s="194">
        <v>0.5</v>
      </c>
      <c r="G74" s="194">
        <v>8</v>
      </c>
      <c r="H74" s="194">
        <v>0.32300000000000001</v>
      </c>
      <c r="I74" s="194">
        <v>0.2</v>
      </c>
      <c r="J74" s="194">
        <v>10</v>
      </c>
      <c r="K74" s="194">
        <v>0.32300000000000001</v>
      </c>
      <c r="L74" s="194">
        <v>0.308</v>
      </c>
      <c r="M74" s="194">
        <v>13</v>
      </c>
      <c r="N74" s="194">
        <v>0.36699999999999999</v>
      </c>
      <c r="O74" s="194">
        <v>0.5</v>
      </c>
      <c r="P74" s="194">
        <v>8</v>
      </c>
      <c r="Q74" s="194">
        <v>0.32</v>
      </c>
      <c r="R74" s="194">
        <v>0.33300000000000002</v>
      </c>
      <c r="S74" s="194">
        <v>9</v>
      </c>
      <c r="T74" s="194">
        <v>0.23499999999999999</v>
      </c>
      <c r="U74" s="194">
        <v>0.125</v>
      </c>
      <c r="V74" s="194">
        <v>8</v>
      </c>
      <c r="W74" s="194"/>
      <c r="X74" s="194"/>
      <c r="Y74" s="194"/>
      <c r="Z74" s="194"/>
      <c r="AA74" s="194"/>
      <c r="AB74" s="194"/>
      <c r="AC74" s="194"/>
      <c r="AD74" s="194"/>
      <c r="AE74" s="194"/>
      <c r="AF74" s="194"/>
      <c r="AG74" s="194"/>
      <c r="AH74" s="194"/>
      <c r="AI74" s="194"/>
      <c r="AJ74" s="194"/>
      <c r="AK74" s="194"/>
      <c r="AL74" s="140"/>
      <c r="AM74" s="140"/>
      <c r="AN74" s="140"/>
      <c r="AO74" s="140"/>
      <c r="AP74" s="140"/>
      <c r="AQ74" s="140"/>
      <c r="AR74" s="140"/>
      <c r="AS74" s="140"/>
      <c r="AT74" s="140"/>
      <c r="AU74" s="140"/>
      <c r="AV74" s="140"/>
      <c r="AW74" s="140"/>
      <c r="AX74" s="140"/>
      <c r="AY74" s="140"/>
      <c r="AZ74" s="140"/>
      <c r="BA74" s="140"/>
      <c r="BB74" s="140"/>
      <c r="BC74" s="140"/>
      <c r="BD74" s="140"/>
      <c r="BE74" s="140"/>
      <c r="BF74" s="140"/>
      <c r="BG74" s="140"/>
      <c r="BH74" s="140"/>
      <c r="BI74" s="140"/>
    </row>
    <row r="75" spans="1:61" x14ac:dyDescent="0.3">
      <c r="A75" s="193" t="s">
        <v>382</v>
      </c>
      <c r="B75" s="194">
        <v>0.52900000000000003</v>
      </c>
      <c r="C75" s="194">
        <v>0.5</v>
      </c>
      <c r="D75" s="194">
        <v>8</v>
      </c>
      <c r="E75" s="194">
        <v>0.6</v>
      </c>
      <c r="F75" s="194">
        <v>0.55600000000000005</v>
      </c>
      <c r="G75" s="194">
        <v>9</v>
      </c>
      <c r="H75" s="194">
        <v>0.58299999999999996</v>
      </c>
      <c r="I75" s="194">
        <v>0.75</v>
      </c>
      <c r="J75" s="194">
        <v>8</v>
      </c>
      <c r="K75" s="194">
        <v>0.6</v>
      </c>
      <c r="L75" s="194">
        <v>0.42899999999999999</v>
      </c>
      <c r="M75" s="194">
        <v>7</v>
      </c>
      <c r="N75" s="194">
        <v>0.48399999999999999</v>
      </c>
      <c r="O75" s="194">
        <v>0.6</v>
      </c>
      <c r="P75" s="194">
        <v>15</v>
      </c>
      <c r="Q75" s="194">
        <v>0.46700000000000003</v>
      </c>
      <c r="R75" s="194">
        <v>0.33300000000000002</v>
      </c>
      <c r="S75" s="194">
        <v>9</v>
      </c>
      <c r="T75" s="194">
        <v>0.33300000000000002</v>
      </c>
      <c r="U75" s="194">
        <v>0.33300000000000002</v>
      </c>
      <c r="V75" s="194">
        <v>6</v>
      </c>
      <c r="W75" s="194"/>
      <c r="X75" s="194"/>
      <c r="Y75" s="194"/>
      <c r="Z75" s="194"/>
      <c r="AA75" s="194"/>
      <c r="AB75" s="194"/>
      <c r="AC75" s="194"/>
      <c r="AD75" s="194"/>
      <c r="AE75" s="194"/>
      <c r="AF75" s="194"/>
      <c r="AG75" s="194"/>
      <c r="AH75" s="194"/>
      <c r="AI75" s="194"/>
      <c r="AJ75" s="194"/>
      <c r="AK75" s="194"/>
      <c r="AL75" s="140"/>
      <c r="AM75" s="140"/>
      <c r="AN75" s="140"/>
      <c r="AO75" s="140"/>
      <c r="AP75" s="140"/>
      <c r="AQ75" s="140"/>
      <c r="AR75" s="140"/>
      <c r="AS75" s="140"/>
      <c r="AT75" s="140"/>
      <c r="AU75" s="140"/>
      <c r="AV75" s="140"/>
      <c r="AW75" s="140"/>
      <c r="AX75" s="140"/>
      <c r="AY75" s="140"/>
      <c r="AZ75" s="140"/>
      <c r="BA75" s="140"/>
      <c r="BB75" s="140"/>
      <c r="BC75" s="140"/>
      <c r="BD75" s="140"/>
      <c r="BE75" s="140"/>
      <c r="BF75" s="140"/>
      <c r="BG75" s="140"/>
      <c r="BH75" s="140"/>
      <c r="BI75" s="140"/>
    </row>
    <row r="76" spans="1:61" x14ac:dyDescent="0.3">
      <c r="A76" s="193" t="s">
        <v>427</v>
      </c>
      <c r="B76" s="194">
        <v>0.33300000000000002</v>
      </c>
      <c r="C76" s="194">
        <v>0.27300000000000002</v>
      </c>
      <c r="D76" s="194">
        <v>11</v>
      </c>
      <c r="E76" s="194">
        <v>0.378</v>
      </c>
      <c r="F76" s="194">
        <v>0.375</v>
      </c>
      <c r="G76" s="194">
        <v>16</v>
      </c>
      <c r="H76" s="194">
        <v>0.45500000000000002</v>
      </c>
      <c r="I76" s="194">
        <v>0.5</v>
      </c>
      <c r="J76" s="194">
        <v>10</v>
      </c>
      <c r="K76" s="194">
        <v>0.439</v>
      </c>
      <c r="L76" s="194">
        <v>0.5</v>
      </c>
      <c r="M76" s="194">
        <v>18</v>
      </c>
      <c r="N76" s="194">
        <v>0.4</v>
      </c>
      <c r="O76" s="194">
        <v>0.308</v>
      </c>
      <c r="P76" s="194">
        <v>13</v>
      </c>
      <c r="Q76" s="194">
        <v>0.33300000000000002</v>
      </c>
      <c r="R76" s="194">
        <v>0.35699999999999998</v>
      </c>
      <c r="S76" s="194">
        <v>14</v>
      </c>
      <c r="T76" s="194">
        <v>0.35</v>
      </c>
      <c r="U76" s="194">
        <v>0.33300000000000002</v>
      </c>
      <c r="V76" s="194">
        <v>6</v>
      </c>
      <c r="W76" s="194"/>
      <c r="X76" s="194"/>
      <c r="Y76" s="194"/>
      <c r="Z76" s="194"/>
      <c r="AA76" s="194"/>
      <c r="AB76" s="194"/>
      <c r="AC76" s="194"/>
      <c r="AD76" s="194"/>
      <c r="AE76" s="194"/>
      <c r="AF76" s="194"/>
      <c r="AG76" s="194"/>
      <c r="AH76" s="194"/>
      <c r="AI76" s="194"/>
      <c r="AJ76" s="194"/>
      <c r="AK76" s="194"/>
      <c r="AL76" s="140"/>
      <c r="AM76" s="140"/>
      <c r="AN76" s="140"/>
      <c r="AO76" s="140"/>
      <c r="AP76" s="140"/>
      <c r="AQ76" s="140"/>
      <c r="AR76" s="140"/>
      <c r="AS76" s="140"/>
      <c r="AT76" s="140"/>
      <c r="AU76" s="140"/>
      <c r="AV76" s="140"/>
      <c r="AW76" s="140"/>
      <c r="AX76" s="140"/>
      <c r="AY76" s="140"/>
      <c r="AZ76" s="140"/>
      <c r="BA76" s="140"/>
      <c r="BB76" s="140"/>
      <c r="BC76" s="140"/>
      <c r="BD76" s="140"/>
      <c r="BE76" s="140"/>
      <c r="BF76" s="140"/>
      <c r="BG76" s="140"/>
      <c r="BH76" s="140"/>
      <c r="BI76" s="140"/>
    </row>
    <row r="77" spans="1:61" x14ac:dyDescent="0.3">
      <c r="A77" s="193" t="s">
        <v>458</v>
      </c>
      <c r="B77" s="194">
        <v>0.56299999999999994</v>
      </c>
      <c r="C77" s="194">
        <v>0.75</v>
      </c>
      <c r="D77" s="194">
        <v>8</v>
      </c>
      <c r="E77" s="194">
        <v>0.5</v>
      </c>
      <c r="F77" s="194">
        <v>0.375</v>
      </c>
      <c r="G77" s="194">
        <v>8</v>
      </c>
      <c r="H77" s="194">
        <v>0.29599999999999999</v>
      </c>
      <c r="I77" s="194">
        <v>0.375</v>
      </c>
      <c r="J77" s="194">
        <v>8</v>
      </c>
      <c r="K77" s="194">
        <v>0.37</v>
      </c>
      <c r="L77" s="194">
        <v>0.182</v>
      </c>
      <c r="M77" s="194">
        <v>11</v>
      </c>
      <c r="N77" s="194">
        <v>0.35699999999999998</v>
      </c>
      <c r="O77" s="194">
        <v>0.625</v>
      </c>
      <c r="P77" s="194">
        <v>8</v>
      </c>
      <c r="Q77" s="194">
        <v>0.38500000000000001</v>
      </c>
      <c r="R77" s="194">
        <v>0.33300000000000002</v>
      </c>
      <c r="S77" s="194">
        <v>9</v>
      </c>
      <c r="T77" s="194">
        <v>0.27800000000000002</v>
      </c>
      <c r="U77" s="194">
        <v>0.222</v>
      </c>
      <c r="V77" s="194">
        <v>9</v>
      </c>
      <c r="W77" s="194"/>
      <c r="X77" s="194"/>
      <c r="Y77" s="194"/>
      <c r="Z77" s="194"/>
      <c r="AA77" s="194"/>
      <c r="AB77" s="194"/>
      <c r="AC77" s="194"/>
      <c r="AD77" s="194"/>
      <c r="AE77" s="194"/>
      <c r="AF77" s="194"/>
      <c r="AG77" s="194"/>
      <c r="AH77" s="194"/>
      <c r="AI77" s="194"/>
      <c r="AJ77" s="194"/>
      <c r="AK77" s="194"/>
      <c r="AL77" s="140"/>
      <c r="AM77" s="140"/>
      <c r="AN77" s="140"/>
      <c r="AO77" s="140"/>
      <c r="AP77" s="140"/>
      <c r="AQ77" s="140"/>
      <c r="AR77" s="140"/>
      <c r="AS77" s="140"/>
      <c r="AT77" s="140"/>
      <c r="AU77" s="140"/>
      <c r="AV77" s="140"/>
      <c r="AW77" s="140"/>
      <c r="AX77" s="140"/>
      <c r="AY77" s="140"/>
      <c r="AZ77" s="140"/>
      <c r="BA77" s="140"/>
      <c r="BB77" s="140"/>
      <c r="BC77" s="140"/>
      <c r="BD77" s="140"/>
      <c r="BE77" s="140"/>
      <c r="BF77" s="140"/>
      <c r="BG77" s="140"/>
      <c r="BH77" s="140"/>
      <c r="BI77" s="140"/>
    </row>
    <row r="78" spans="1:61" x14ac:dyDescent="0.3">
      <c r="A78" s="193" t="s">
        <v>330</v>
      </c>
      <c r="B78" s="194">
        <v>0.56499999999999995</v>
      </c>
      <c r="C78" s="194">
        <v>0.54200000000000004</v>
      </c>
      <c r="D78" s="194">
        <v>24</v>
      </c>
      <c r="E78" s="194">
        <v>0.56200000000000006</v>
      </c>
      <c r="F78" s="194">
        <v>0.59099999999999997</v>
      </c>
      <c r="G78" s="194">
        <v>22</v>
      </c>
      <c r="H78" s="194">
        <v>0.621</v>
      </c>
      <c r="I78" s="194">
        <v>0.55600000000000005</v>
      </c>
      <c r="J78" s="194">
        <v>27</v>
      </c>
      <c r="K78" s="194">
        <v>0.64300000000000002</v>
      </c>
      <c r="L78" s="194">
        <v>0.76500000000000001</v>
      </c>
      <c r="M78" s="194">
        <v>17</v>
      </c>
      <c r="N78" s="194">
        <v>0.70199999999999996</v>
      </c>
      <c r="O78" s="194">
        <v>0.66700000000000004</v>
      </c>
      <c r="P78" s="194">
        <v>12</v>
      </c>
      <c r="Q78" s="194">
        <v>0.67300000000000004</v>
      </c>
      <c r="R78" s="194">
        <v>0.66700000000000004</v>
      </c>
      <c r="S78" s="194">
        <v>18</v>
      </c>
      <c r="T78" s="194">
        <v>0.67600000000000005</v>
      </c>
      <c r="U78" s="194">
        <v>0.68400000000000005</v>
      </c>
      <c r="V78" s="194">
        <v>19</v>
      </c>
      <c r="W78" s="194"/>
      <c r="X78" s="194"/>
      <c r="Y78" s="194"/>
      <c r="Z78" s="194"/>
      <c r="AA78" s="194"/>
      <c r="AB78" s="194"/>
      <c r="AC78" s="194"/>
      <c r="AD78" s="194"/>
      <c r="AE78" s="194"/>
      <c r="AF78" s="194"/>
      <c r="AG78" s="194"/>
      <c r="AH78" s="194"/>
      <c r="AI78" s="194"/>
      <c r="AJ78" s="194"/>
      <c r="AK78" s="194"/>
      <c r="AL78" s="140"/>
      <c r="AM78" s="140"/>
      <c r="AN78" s="140"/>
      <c r="AO78" s="140"/>
      <c r="AP78" s="140"/>
      <c r="AQ78" s="140"/>
      <c r="AR78" s="140"/>
      <c r="AS78" s="140"/>
      <c r="AT78" s="140"/>
      <c r="AU78" s="140"/>
      <c r="AV78" s="140"/>
      <c r="AW78" s="140"/>
      <c r="AX78" s="140"/>
      <c r="AY78" s="140"/>
      <c r="AZ78" s="140"/>
      <c r="BA78" s="140"/>
      <c r="BB78" s="140"/>
      <c r="BC78" s="140"/>
      <c r="BD78" s="140"/>
      <c r="BE78" s="140"/>
      <c r="BF78" s="140"/>
      <c r="BG78" s="140"/>
      <c r="BH78" s="140"/>
      <c r="BI78" s="140"/>
    </row>
    <row r="79" spans="1:61" x14ac:dyDescent="0.3">
      <c r="A79" s="193" t="s">
        <v>404</v>
      </c>
      <c r="B79" s="194">
        <v>0.625</v>
      </c>
      <c r="C79" s="194">
        <v>0.6</v>
      </c>
      <c r="D79" s="194">
        <v>10</v>
      </c>
      <c r="E79" s="194">
        <v>0.51200000000000001</v>
      </c>
      <c r="F79" s="194">
        <v>0.64300000000000002</v>
      </c>
      <c r="G79" s="194">
        <v>14</v>
      </c>
      <c r="H79" s="194">
        <v>0.51900000000000002</v>
      </c>
      <c r="I79" s="194">
        <v>0.36799999999999999</v>
      </c>
      <c r="J79" s="194">
        <v>19</v>
      </c>
      <c r="K79" s="194">
        <v>0.44800000000000001</v>
      </c>
      <c r="L79" s="194">
        <v>0.57099999999999995</v>
      </c>
      <c r="M79" s="194">
        <v>21</v>
      </c>
      <c r="N79" s="194">
        <v>0.52900000000000003</v>
      </c>
      <c r="O79" s="194">
        <v>0.38900000000000001</v>
      </c>
      <c r="P79" s="194">
        <v>18</v>
      </c>
      <c r="Q79" s="194">
        <v>0.42299999999999999</v>
      </c>
      <c r="R79" s="194">
        <v>0.66700000000000004</v>
      </c>
      <c r="S79" s="194">
        <v>12</v>
      </c>
      <c r="T79" s="194">
        <v>0.441</v>
      </c>
      <c r="U79" s="194">
        <v>0.318</v>
      </c>
      <c r="V79" s="194">
        <v>22</v>
      </c>
      <c r="W79" s="194"/>
      <c r="X79" s="194"/>
      <c r="Y79" s="194"/>
      <c r="Z79" s="194"/>
      <c r="AA79" s="194"/>
      <c r="AB79" s="194"/>
      <c r="AC79" s="194"/>
      <c r="AD79" s="194"/>
      <c r="AE79" s="194"/>
      <c r="AF79" s="194"/>
      <c r="AG79" s="194"/>
      <c r="AH79" s="194"/>
      <c r="AI79" s="194"/>
      <c r="AJ79" s="194"/>
      <c r="AK79" s="194"/>
      <c r="AL79" s="140"/>
      <c r="AM79" s="140"/>
      <c r="AN79" s="140"/>
      <c r="AO79" s="140"/>
      <c r="AP79" s="140"/>
      <c r="AQ79" s="140"/>
      <c r="AR79" s="140"/>
      <c r="AS79" s="140"/>
      <c r="AT79" s="140"/>
      <c r="AU79" s="140"/>
      <c r="AV79" s="140"/>
      <c r="AW79" s="140"/>
      <c r="AX79" s="140"/>
      <c r="AY79" s="140"/>
      <c r="AZ79" s="140"/>
      <c r="BA79" s="140"/>
      <c r="BB79" s="140"/>
      <c r="BC79" s="140"/>
      <c r="BD79" s="140"/>
      <c r="BE79" s="140"/>
      <c r="BF79" s="140"/>
      <c r="BG79" s="140"/>
      <c r="BH79" s="140"/>
      <c r="BI79" s="140"/>
    </row>
    <row r="80" spans="1:61" x14ac:dyDescent="0.3">
      <c r="A80" s="193" t="s">
        <v>504</v>
      </c>
      <c r="B80" s="194">
        <v>0.33300000000000002</v>
      </c>
      <c r="C80" s="194">
        <v>0.375</v>
      </c>
      <c r="D80" s="194">
        <v>8</v>
      </c>
      <c r="E80" s="194">
        <v>0.438</v>
      </c>
      <c r="F80" s="194">
        <v>0.3</v>
      </c>
      <c r="G80" s="194">
        <v>10</v>
      </c>
      <c r="H80" s="194">
        <v>0.41199999999999998</v>
      </c>
      <c r="I80" s="194">
        <v>0.57099999999999995</v>
      </c>
      <c r="J80" s="194">
        <v>14</v>
      </c>
      <c r="K80" s="194">
        <v>0.4</v>
      </c>
      <c r="L80" s="194">
        <v>0.3</v>
      </c>
      <c r="M80" s="194">
        <v>10</v>
      </c>
      <c r="N80" s="194">
        <v>0.28000000000000003</v>
      </c>
      <c r="O80" s="194">
        <v>0.16700000000000001</v>
      </c>
      <c r="P80" s="194">
        <v>6</v>
      </c>
      <c r="Q80" s="194">
        <v>0.28599999999999998</v>
      </c>
      <c r="R80" s="194">
        <v>0.33300000000000002</v>
      </c>
      <c r="S80" s="194">
        <v>9</v>
      </c>
      <c r="T80" s="194">
        <v>0.33300000000000002</v>
      </c>
      <c r="U80" s="194">
        <v>0.33300000000000002</v>
      </c>
      <c r="V80" s="194">
        <v>6</v>
      </c>
      <c r="W80" s="194"/>
      <c r="X80" s="194"/>
      <c r="Y80" s="194"/>
      <c r="Z80" s="194"/>
      <c r="AA80" s="194"/>
      <c r="AB80" s="194"/>
      <c r="AC80" s="194"/>
      <c r="AD80" s="194"/>
      <c r="AE80" s="194"/>
      <c r="AF80" s="194"/>
      <c r="AG80" s="194"/>
      <c r="AH80" s="194"/>
      <c r="AI80" s="194"/>
      <c r="AJ80" s="194"/>
      <c r="AK80" s="194"/>
      <c r="AL80" s="140"/>
      <c r="AM80" s="140"/>
      <c r="AN80" s="140"/>
      <c r="AO80" s="140"/>
      <c r="AP80" s="140"/>
      <c r="AQ80" s="140"/>
      <c r="AR80" s="140"/>
      <c r="AS80" s="140"/>
      <c r="AT80" s="140"/>
      <c r="AU80" s="140"/>
      <c r="AV80" s="140"/>
      <c r="AW80" s="140"/>
      <c r="AX80" s="140"/>
      <c r="AY80" s="140"/>
      <c r="AZ80" s="140"/>
      <c r="BA80" s="140"/>
      <c r="BB80" s="140"/>
      <c r="BC80" s="140"/>
      <c r="BD80" s="140"/>
      <c r="BE80" s="140"/>
      <c r="BF80" s="140"/>
      <c r="BG80" s="140"/>
      <c r="BH80" s="140"/>
      <c r="BI80" s="140"/>
    </row>
    <row r="81" spans="1:61" x14ac:dyDescent="0.3">
      <c r="A81" s="193" t="s">
        <v>310</v>
      </c>
      <c r="B81" s="194">
        <v>0.35</v>
      </c>
      <c r="C81" s="194">
        <v>0.41699999999999998</v>
      </c>
      <c r="D81" s="194">
        <v>12</v>
      </c>
      <c r="E81" s="194">
        <v>0.32100000000000001</v>
      </c>
      <c r="F81" s="194">
        <v>0.25</v>
      </c>
      <c r="G81" s="194">
        <v>8</v>
      </c>
      <c r="H81" s="194">
        <v>0.27300000000000002</v>
      </c>
      <c r="I81" s="194">
        <v>0.25</v>
      </c>
      <c r="J81" s="194">
        <v>8</v>
      </c>
      <c r="K81" s="194">
        <v>0.4</v>
      </c>
      <c r="L81" s="194">
        <v>0.33300000000000002</v>
      </c>
      <c r="M81" s="194">
        <v>6</v>
      </c>
      <c r="N81" s="194">
        <v>0.44400000000000001</v>
      </c>
      <c r="O81" s="194">
        <v>0.54500000000000004</v>
      </c>
      <c r="P81" s="194">
        <v>11</v>
      </c>
      <c r="Q81" s="194">
        <v>0.51600000000000001</v>
      </c>
      <c r="R81" s="194">
        <v>0.4</v>
      </c>
      <c r="S81" s="194">
        <v>10</v>
      </c>
      <c r="T81" s="194">
        <v>0.5</v>
      </c>
      <c r="U81" s="194">
        <v>0.6</v>
      </c>
      <c r="V81" s="194">
        <v>10</v>
      </c>
      <c r="W81" s="194"/>
      <c r="X81" s="194"/>
      <c r="Y81" s="194"/>
      <c r="Z81" s="194"/>
      <c r="AA81" s="194"/>
      <c r="AB81" s="194"/>
      <c r="AC81" s="194"/>
      <c r="AD81" s="194"/>
      <c r="AE81" s="194"/>
      <c r="AF81" s="194"/>
      <c r="AG81" s="194"/>
      <c r="AH81" s="194"/>
      <c r="AI81" s="194"/>
      <c r="AJ81" s="194"/>
      <c r="AK81" s="194"/>
      <c r="AL81" s="140"/>
      <c r="AM81" s="140"/>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row>
    <row r="82" spans="1:61" x14ac:dyDescent="0.3">
      <c r="A82" s="193" t="s">
        <v>498</v>
      </c>
      <c r="B82" s="194">
        <v>0.75</v>
      </c>
      <c r="C82" s="194">
        <v>0.5</v>
      </c>
      <c r="D82" s="194">
        <v>2</v>
      </c>
      <c r="E82" s="194">
        <v>0.6</v>
      </c>
      <c r="F82" s="194">
        <v>1</v>
      </c>
      <c r="G82" s="194">
        <v>2</v>
      </c>
      <c r="H82" s="194">
        <v>0.6</v>
      </c>
      <c r="I82" s="194">
        <v>0</v>
      </c>
      <c r="J82" s="194">
        <v>1</v>
      </c>
      <c r="K82" s="194">
        <v>0.5</v>
      </c>
      <c r="L82" s="194">
        <v>0.5</v>
      </c>
      <c r="M82" s="194">
        <v>2</v>
      </c>
      <c r="N82" s="194">
        <v>0.5</v>
      </c>
      <c r="O82" s="194">
        <v>0.66700000000000004</v>
      </c>
      <c r="P82" s="194">
        <v>3</v>
      </c>
      <c r="Q82" s="194">
        <v>0.4</v>
      </c>
      <c r="R82" s="194">
        <v>0</v>
      </c>
      <c r="S82" s="194">
        <v>1</v>
      </c>
      <c r="T82" s="194">
        <v>0</v>
      </c>
      <c r="U82" s="194">
        <v>0</v>
      </c>
      <c r="V82" s="194">
        <v>1</v>
      </c>
      <c r="W82" s="194"/>
      <c r="X82" s="194"/>
      <c r="Y82" s="194"/>
      <c r="Z82" s="194"/>
      <c r="AA82" s="194"/>
      <c r="AB82" s="194"/>
      <c r="AC82" s="194"/>
      <c r="AD82" s="194"/>
      <c r="AE82" s="194"/>
      <c r="AF82" s="194"/>
      <c r="AG82" s="194"/>
      <c r="AH82" s="194"/>
      <c r="AI82" s="194"/>
      <c r="AJ82" s="194"/>
      <c r="AK82" s="194"/>
      <c r="AL82" s="140"/>
      <c r="AM82" s="140"/>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row>
    <row r="83" spans="1:61" x14ac:dyDescent="0.3">
      <c r="A83" s="193" t="s">
        <v>372</v>
      </c>
      <c r="B83" s="194">
        <v>0.6</v>
      </c>
      <c r="C83" s="194">
        <v>0.66700000000000004</v>
      </c>
      <c r="D83" s="194">
        <v>3</v>
      </c>
      <c r="E83" s="194">
        <v>0.55600000000000005</v>
      </c>
      <c r="F83" s="194">
        <v>0.5</v>
      </c>
      <c r="G83" s="194">
        <v>2</v>
      </c>
      <c r="H83" s="194">
        <v>0.45500000000000002</v>
      </c>
      <c r="I83" s="194">
        <v>0.5</v>
      </c>
      <c r="J83" s="194">
        <v>4</v>
      </c>
      <c r="K83" s="194">
        <v>0.5</v>
      </c>
      <c r="L83" s="194">
        <v>0.4</v>
      </c>
      <c r="M83" s="194">
        <v>5</v>
      </c>
      <c r="N83" s="194">
        <v>0.44400000000000001</v>
      </c>
      <c r="O83" s="194">
        <v>0.57099999999999995</v>
      </c>
      <c r="P83" s="194">
        <v>7</v>
      </c>
      <c r="Q83" s="194">
        <v>0.40899999999999997</v>
      </c>
      <c r="R83" s="194">
        <v>0.33300000000000002</v>
      </c>
      <c r="S83" s="194">
        <v>6</v>
      </c>
      <c r="T83" s="194">
        <v>0.33300000000000002</v>
      </c>
      <c r="U83" s="194">
        <v>0.33300000000000002</v>
      </c>
      <c r="V83" s="194">
        <v>9</v>
      </c>
      <c r="W83" s="194"/>
      <c r="X83" s="194"/>
      <c r="Y83" s="194"/>
      <c r="Z83" s="194"/>
      <c r="AA83" s="194"/>
      <c r="AB83" s="194"/>
      <c r="AC83" s="194"/>
      <c r="AD83" s="194"/>
      <c r="AE83" s="194"/>
      <c r="AF83" s="194"/>
      <c r="AG83" s="194"/>
      <c r="AH83" s="194"/>
      <c r="AI83" s="194"/>
      <c r="AJ83" s="194"/>
      <c r="AK83" s="194"/>
      <c r="AL83" s="140"/>
      <c r="AM83" s="140"/>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row>
    <row r="84" spans="1:61" x14ac:dyDescent="0.3">
      <c r="A84" s="193" t="s">
        <v>354</v>
      </c>
      <c r="B84" s="194">
        <v>0</v>
      </c>
      <c r="C84" s="194">
        <v>0</v>
      </c>
      <c r="D84" s="194">
        <v>4</v>
      </c>
      <c r="E84" s="194">
        <v>0</v>
      </c>
      <c r="F84" s="194">
        <v>0</v>
      </c>
      <c r="G84" s="194">
        <v>1</v>
      </c>
      <c r="H84" s="194">
        <v>0.188</v>
      </c>
      <c r="I84" s="194">
        <v>0</v>
      </c>
      <c r="J84" s="194">
        <v>7</v>
      </c>
      <c r="K84" s="194">
        <v>0.222</v>
      </c>
      <c r="L84" s="194">
        <v>0.375</v>
      </c>
      <c r="M84" s="194">
        <v>8</v>
      </c>
      <c r="N84" s="194">
        <v>0.46200000000000002</v>
      </c>
      <c r="O84" s="194">
        <v>0.33300000000000002</v>
      </c>
      <c r="P84" s="194">
        <v>3</v>
      </c>
      <c r="Q84" s="194">
        <v>0.5</v>
      </c>
      <c r="R84" s="194">
        <v>1</v>
      </c>
      <c r="S84" s="194">
        <v>2</v>
      </c>
      <c r="T84" s="194">
        <v>0.54500000000000004</v>
      </c>
      <c r="U84" s="194">
        <v>0.44400000000000001</v>
      </c>
      <c r="V84" s="194">
        <v>9</v>
      </c>
      <c r="W84" s="194"/>
      <c r="X84" s="194"/>
      <c r="Y84" s="194"/>
      <c r="Z84" s="194"/>
      <c r="AA84" s="194"/>
      <c r="AB84" s="194"/>
      <c r="AC84" s="194"/>
      <c r="AD84" s="194"/>
      <c r="AE84" s="194"/>
      <c r="AF84" s="194"/>
      <c r="AG84" s="194"/>
      <c r="AH84" s="194"/>
      <c r="AI84" s="194"/>
      <c r="AJ84" s="194"/>
      <c r="AK84" s="194"/>
      <c r="AL84" s="140"/>
      <c r="AM84" s="140"/>
      <c r="AN84" s="140"/>
      <c r="AO84" s="140"/>
      <c r="AP84" s="140"/>
      <c r="AQ84" s="140"/>
      <c r="AR84" s="140"/>
      <c r="AS84" s="140"/>
      <c r="AT84" s="140"/>
      <c r="AU84" s="140"/>
      <c r="AV84" s="140"/>
      <c r="AW84" s="140"/>
      <c r="AX84" s="140"/>
      <c r="AY84" s="140"/>
      <c r="AZ84" s="140"/>
      <c r="BA84" s="140"/>
      <c r="BB84" s="140"/>
      <c r="BC84" s="140"/>
      <c r="BD84" s="140"/>
      <c r="BE84" s="140"/>
      <c r="BF84" s="140"/>
      <c r="BG84" s="140"/>
      <c r="BH84" s="140"/>
      <c r="BI84" s="140"/>
    </row>
    <row r="85" spans="1:61" x14ac:dyDescent="0.3">
      <c r="A85" s="193" t="s">
        <v>390</v>
      </c>
      <c r="B85" s="194">
        <v>0.55600000000000005</v>
      </c>
      <c r="C85" s="194">
        <v>0.433</v>
      </c>
      <c r="D85" s="194">
        <v>30</v>
      </c>
      <c r="E85" s="194">
        <v>0.52600000000000002</v>
      </c>
      <c r="F85" s="194">
        <v>0.66700000000000004</v>
      </c>
      <c r="G85" s="194">
        <v>33</v>
      </c>
      <c r="H85" s="194">
        <v>0.51100000000000001</v>
      </c>
      <c r="I85" s="194">
        <v>0.47099999999999997</v>
      </c>
      <c r="J85" s="194">
        <v>34</v>
      </c>
      <c r="K85" s="194">
        <v>0.41699999999999998</v>
      </c>
      <c r="L85" s="194">
        <v>0.36</v>
      </c>
      <c r="M85" s="194">
        <v>25</v>
      </c>
      <c r="N85" s="194">
        <v>0.32700000000000001</v>
      </c>
      <c r="O85" s="194">
        <v>0.40500000000000003</v>
      </c>
      <c r="P85" s="194">
        <v>37</v>
      </c>
      <c r="Q85" s="194">
        <v>0.3</v>
      </c>
      <c r="R85" s="194">
        <v>0.23100000000000001</v>
      </c>
      <c r="S85" s="194">
        <v>39</v>
      </c>
      <c r="T85" s="194">
        <v>0.247</v>
      </c>
      <c r="U85" s="194">
        <v>0.26500000000000001</v>
      </c>
      <c r="V85" s="194">
        <v>34</v>
      </c>
      <c r="W85" s="194"/>
      <c r="X85" s="194"/>
      <c r="Y85" s="194"/>
      <c r="Z85" s="194"/>
      <c r="AA85" s="194"/>
      <c r="AB85" s="194"/>
      <c r="AC85" s="194"/>
      <c r="AD85" s="194"/>
      <c r="AE85" s="194"/>
      <c r="AF85" s="194"/>
      <c r="AG85" s="194"/>
      <c r="AH85" s="194"/>
      <c r="AI85" s="194"/>
      <c r="AJ85" s="194"/>
      <c r="AK85" s="194"/>
      <c r="AL85" s="140"/>
      <c r="AM85" s="140"/>
      <c r="AN85" s="140"/>
      <c r="AO85" s="140"/>
      <c r="AP85" s="140"/>
      <c r="AQ85" s="140"/>
      <c r="AR85" s="140"/>
      <c r="AS85" s="140"/>
      <c r="AT85" s="140"/>
      <c r="AU85" s="140"/>
      <c r="AV85" s="140"/>
      <c r="AW85" s="140"/>
      <c r="AX85" s="140"/>
      <c r="AY85" s="140"/>
      <c r="AZ85" s="140"/>
      <c r="BA85" s="140"/>
      <c r="BB85" s="140"/>
      <c r="BC85" s="140"/>
      <c r="BD85" s="140"/>
      <c r="BE85" s="140"/>
      <c r="BF85" s="140"/>
      <c r="BG85" s="140"/>
      <c r="BH85" s="140"/>
      <c r="BI85" s="140"/>
    </row>
    <row r="86" spans="1:61" x14ac:dyDescent="0.3">
      <c r="A86" s="193" t="s">
        <v>548</v>
      </c>
      <c r="B86" s="194">
        <v>0.34399999999999997</v>
      </c>
      <c r="C86" s="194">
        <v>0.36399999999999999</v>
      </c>
      <c r="D86" s="194">
        <v>22</v>
      </c>
      <c r="E86" s="194">
        <v>0.40799999999999997</v>
      </c>
      <c r="F86" s="194">
        <v>0.3</v>
      </c>
      <c r="G86" s="194">
        <v>10</v>
      </c>
      <c r="H86" s="194">
        <v>0.435</v>
      </c>
      <c r="I86" s="194">
        <v>0.52900000000000003</v>
      </c>
      <c r="J86" s="194">
        <v>17</v>
      </c>
      <c r="K86" s="194">
        <v>0.436</v>
      </c>
      <c r="L86" s="194">
        <v>0.42099999999999999</v>
      </c>
      <c r="M86" s="194">
        <v>19</v>
      </c>
      <c r="N86" s="194">
        <v>0.26300000000000001</v>
      </c>
      <c r="O86" s="194">
        <v>0.36799999999999999</v>
      </c>
      <c r="P86" s="194">
        <v>19</v>
      </c>
      <c r="Q86" s="194">
        <v>0.29299999999999998</v>
      </c>
      <c r="R86" s="194">
        <v>0</v>
      </c>
      <c r="S86" s="194">
        <v>19</v>
      </c>
      <c r="T86" s="194">
        <v>0.25600000000000001</v>
      </c>
      <c r="U86" s="194">
        <v>0.5</v>
      </c>
      <c r="V86" s="194">
        <v>20</v>
      </c>
      <c r="W86" s="194"/>
      <c r="X86" s="194"/>
      <c r="Y86" s="194"/>
      <c r="Z86" s="194"/>
      <c r="AA86" s="194"/>
      <c r="AB86" s="194"/>
      <c r="AC86" s="194"/>
      <c r="AD86" s="194"/>
      <c r="AE86" s="194"/>
      <c r="AF86" s="194"/>
      <c r="AG86" s="194"/>
      <c r="AH86" s="194"/>
      <c r="AI86" s="194"/>
      <c r="AJ86" s="194"/>
      <c r="AK86" s="194"/>
      <c r="AL86" s="140"/>
      <c r="AM86" s="140"/>
      <c r="AN86" s="140"/>
      <c r="AO86" s="140"/>
      <c r="AP86" s="140"/>
      <c r="AQ86" s="140"/>
      <c r="AR86" s="140"/>
      <c r="AS86" s="140"/>
      <c r="AT86" s="140"/>
      <c r="AU86" s="140"/>
      <c r="AV86" s="140"/>
      <c r="AW86" s="140"/>
      <c r="AX86" s="140"/>
      <c r="AY86" s="140"/>
      <c r="AZ86" s="140"/>
      <c r="BA86" s="140"/>
      <c r="BB86" s="140"/>
      <c r="BC86" s="140"/>
      <c r="BD86" s="140"/>
      <c r="BE86" s="140"/>
      <c r="BF86" s="140"/>
      <c r="BG86" s="140"/>
      <c r="BH86" s="140"/>
      <c r="BI86" s="140"/>
    </row>
    <row r="87" spans="1:61" x14ac:dyDescent="0.3">
      <c r="A87" s="193" t="s">
        <v>518</v>
      </c>
      <c r="B87" s="194">
        <v>0.40300000000000002</v>
      </c>
      <c r="C87" s="194">
        <v>0.35299999999999998</v>
      </c>
      <c r="D87" s="194">
        <v>34</v>
      </c>
      <c r="E87" s="194">
        <v>0.41699999999999998</v>
      </c>
      <c r="F87" s="194">
        <v>0.45500000000000002</v>
      </c>
      <c r="G87" s="194">
        <v>33</v>
      </c>
      <c r="H87" s="194">
        <v>0.43</v>
      </c>
      <c r="I87" s="194">
        <v>0.44800000000000001</v>
      </c>
      <c r="J87" s="194">
        <v>29</v>
      </c>
      <c r="K87" s="194">
        <v>0.42299999999999999</v>
      </c>
      <c r="L87" s="194">
        <v>0.38700000000000001</v>
      </c>
      <c r="M87" s="194">
        <v>31</v>
      </c>
      <c r="N87" s="194">
        <v>0.38</v>
      </c>
      <c r="O87" s="194">
        <v>0.432</v>
      </c>
      <c r="P87" s="194">
        <v>44</v>
      </c>
      <c r="Q87" s="194">
        <v>0.34300000000000003</v>
      </c>
      <c r="R87" s="194">
        <v>0.28000000000000003</v>
      </c>
      <c r="S87" s="194">
        <v>25</v>
      </c>
      <c r="T87" s="194">
        <v>0.27600000000000002</v>
      </c>
      <c r="U87" s="194">
        <v>0.27300000000000002</v>
      </c>
      <c r="V87" s="194">
        <v>33</v>
      </c>
      <c r="W87" s="194"/>
      <c r="X87" s="194"/>
      <c r="Y87" s="194"/>
      <c r="Z87" s="194"/>
      <c r="AA87" s="194"/>
      <c r="AB87" s="194"/>
      <c r="AC87" s="194"/>
      <c r="AD87" s="194"/>
      <c r="AE87" s="194"/>
      <c r="AF87" s="194"/>
      <c r="AG87" s="194"/>
      <c r="AH87" s="194"/>
      <c r="AI87" s="194"/>
      <c r="AJ87" s="194"/>
      <c r="AK87" s="194"/>
      <c r="AL87" s="140"/>
      <c r="AM87" s="140"/>
      <c r="AN87" s="140"/>
      <c r="AO87" s="140"/>
      <c r="AP87" s="140"/>
      <c r="AQ87" s="140"/>
      <c r="AR87" s="140"/>
      <c r="AS87" s="140"/>
      <c r="AT87" s="140"/>
      <c r="AU87" s="140"/>
      <c r="AV87" s="140"/>
      <c r="AW87" s="140"/>
      <c r="AX87" s="140"/>
      <c r="AY87" s="140"/>
      <c r="AZ87" s="140"/>
      <c r="BA87" s="140"/>
      <c r="BB87" s="140"/>
      <c r="BC87" s="140"/>
      <c r="BD87" s="140"/>
      <c r="BE87" s="140"/>
      <c r="BF87" s="140"/>
      <c r="BG87" s="140"/>
      <c r="BH87" s="140"/>
      <c r="BI87" s="140"/>
    </row>
    <row r="88" spans="1:61" x14ac:dyDescent="0.3">
      <c r="A88" s="193" t="s">
        <v>514</v>
      </c>
      <c r="B88" s="194">
        <v>0.5</v>
      </c>
      <c r="C88" s="194">
        <v>0</v>
      </c>
      <c r="D88" s="194">
        <v>2</v>
      </c>
      <c r="E88" s="194">
        <v>0.4</v>
      </c>
      <c r="F88" s="194">
        <v>1</v>
      </c>
      <c r="G88" s="194">
        <v>2</v>
      </c>
      <c r="H88" s="194">
        <v>0.4</v>
      </c>
      <c r="I88" s="194">
        <v>0</v>
      </c>
      <c r="J88" s="194">
        <v>1</v>
      </c>
      <c r="K88" s="194">
        <v>0</v>
      </c>
      <c r="L88" s="194">
        <v>0</v>
      </c>
      <c r="M88" s="194">
        <v>2</v>
      </c>
      <c r="N88" s="194">
        <v>0.16700000000000001</v>
      </c>
      <c r="O88" s="194">
        <v>0</v>
      </c>
      <c r="P88" s="194">
        <v>3</v>
      </c>
      <c r="Q88" s="194">
        <v>0.16700000000000001</v>
      </c>
      <c r="R88" s="194">
        <v>1</v>
      </c>
      <c r="S88" s="194">
        <v>1</v>
      </c>
      <c r="T88" s="194">
        <v>0.33300000000000002</v>
      </c>
      <c r="U88" s="194">
        <v>0</v>
      </c>
      <c r="V88" s="194">
        <v>2</v>
      </c>
      <c r="W88" s="194"/>
      <c r="X88" s="194"/>
      <c r="Y88" s="194"/>
      <c r="Z88" s="194"/>
      <c r="AA88" s="194"/>
      <c r="AB88" s="194"/>
      <c r="AC88" s="194"/>
      <c r="AD88" s="194"/>
      <c r="AE88" s="194"/>
      <c r="AF88" s="194"/>
      <c r="AG88" s="194"/>
      <c r="AH88" s="194"/>
      <c r="AI88" s="194"/>
      <c r="AJ88" s="194"/>
      <c r="AK88" s="194"/>
      <c r="AL88" s="140"/>
      <c r="AM88" s="140"/>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row>
    <row r="89" spans="1:61" x14ac:dyDescent="0.3">
      <c r="A89" s="193" t="s">
        <v>496</v>
      </c>
      <c r="B89" s="194">
        <v>0.65400000000000003</v>
      </c>
      <c r="C89" s="194">
        <v>0.64900000000000002</v>
      </c>
      <c r="D89" s="194">
        <v>37</v>
      </c>
      <c r="E89" s="194">
        <v>0.70199999999999996</v>
      </c>
      <c r="F89" s="194">
        <v>0.65900000000000003</v>
      </c>
      <c r="G89" s="194">
        <v>44</v>
      </c>
      <c r="H89" s="194">
        <v>0.69099999999999995</v>
      </c>
      <c r="I89" s="194">
        <v>0.8</v>
      </c>
      <c r="J89" s="194">
        <v>40</v>
      </c>
      <c r="K89" s="194">
        <v>0.63300000000000001</v>
      </c>
      <c r="L89" s="194">
        <v>0.61499999999999999</v>
      </c>
      <c r="M89" s="194">
        <v>39</v>
      </c>
      <c r="N89" s="194">
        <v>0.55000000000000004</v>
      </c>
      <c r="O89" s="194">
        <v>0.433</v>
      </c>
      <c r="P89" s="194">
        <v>30</v>
      </c>
      <c r="Q89" s="194">
        <v>0.55800000000000005</v>
      </c>
      <c r="R89" s="194">
        <v>0.57499999999999996</v>
      </c>
      <c r="S89" s="194">
        <v>40</v>
      </c>
      <c r="T89" s="194">
        <v>0.60199999999999998</v>
      </c>
      <c r="U89" s="194">
        <v>0.628</v>
      </c>
      <c r="V89" s="194">
        <v>43</v>
      </c>
      <c r="W89" s="194"/>
      <c r="X89" s="194"/>
      <c r="Y89" s="194"/>
      <c r="Z89" s="194"/>
      <c r="AA89" s="194"/>
      <c r="AB89" s="194"/>
      <c r="AC89" s="194"/>
      <c r="AD89" s="194"/>
      <c r="AE89" s="194"/>
      <c r="AF89" s="194"/>
      <c r="AG89" s="194"/>
      <c r="AH89" s="194"/>
      <c r="AI89" s="194"/>
      <c r="AJ89" s="194"/>
      <c r="AK89" s="194"/>
      <c r="AL89" s="140"/>
      <c r="AM89" s="140"/>
      <c r="AN89" s="140"/>
      <c r="AO89" s="140"/>
      <c r="AP89" s="140"/>
      <c r="AQ89" s="140"/>
      <c r="AR89" s="140"/>
      <c r="AS89" s="140"/>
      <c r="AT89" s="140"/>
      <c r="AU89" s="140"/>
      <c r="AV89" s="140"/>
      <c r="AW89" s="140"/>
      <c r="AX89" s="140"/>
      <c r="AY89" s="140"/>
      <c r="AZ89" s="140"/>
      <c r="BA89" s="140"/>
      <c r="BB89" s="140"/>
      <c r="BC89" s="140"/>
      <c r="BD89" s="140"/>
      <c r="BE89" s="140"/>
      <c r="BF89" s="140"/>
      <c r="BG89" s="140"/>
      <c r="BH89" s="140"/>
      <c r="BI89" s="140"/>
    </row>
    <row r="90" spans="1:61" x14ac:dyDescent="0.3">
      <c r="A90" s="193" t="s">
        <v>359</v>
      </c>
      <c r="B90" s="194">
        <v>0.42299999999999999</v>
      </c>
      <c r="C90" s="194">
        <v>0.33300000000000002</v>
      </c>
      <c r="D90" s="194">
        <v>12</v>
      </c>
      <c r="E90" s="194">
        <v>0.41</v>
      </c>
      <c r="F90" s="194">
        <v>0.5</v>
      </c>
      <c r="G90" s="194">
        <v>14</v>
      </c>
      <c r="H90" s="194">
        <v>0.375</v>
      </c>
      <c r="I90" s="194">
        <v>0.38500000000000001</v>
      </c>
      <c r="J90" s="194">
        <v>13</v>
      </c>
      <c r="K90" s="194">
        <v>0.26800000000000002</v>
      </c>
      <c r="L90" s="194">
        <v>0.28599999999999998</v>
      </c>
      <c r="M90" s="194">
        <v>21</v>
      </c>
      <c r="N90" s="194">
        <v>0.19700000000000001</v>
      </c>
      <c r="O90" s="194">
        <v>0.182</v>
      </c>
      <c r="P90" s="194">
        <v>22</v>
      </c>
      <c r="Q90" s="194">
        <v>0.185</v>
      </c>
      <c r="R90" s="194">
        <v>0.14299999999999999</v>
      </c>
      <c r="S90" s="194">
        <v>28</v>
      </c>
      <c r="T90" s="194">
        <v>0.186</v>
      </c>
      <c r="U90" s="194">
        <v>0.26700000000000002</v>
      </c>
      <c r="V90" s="194">
        <v>15</v>
      </c>
      <c r="W90" s="194"/>
      <c r="X90" s="194"/>
      <c r="Y90" s="194"/>
      <c r="Z90" s="194"/>
      <c r="AA90" s="194"/>
      <c r="AB90" s="194"/>
      <c r="AC90" s="194"/>
      <c r="AD90" s="194"/>
      <c r="AE90" s="194"/>
      <c r="AF90" s="194"/>
      <c r="AG90" s="194"/>
      <c r="AH90" s="194"/>
      <c r="AI90" s="194"/>
      <c r="AJ90" s="194"/>
      <c r="AK90" s="194"/>
      <c r="AL90" s="140"/>
      <c r="AM90" s="140"/>
      <c r="AN90" s="140"/>
      <c r="AO90" s="140"/>
      <c r="AP90" s="140"/>
      <c r="AQ90" s="140"/>
      <c r="AR90" s="140"/>
      <c r="AS90" s="140"/>
      <c r="AT90" s="140"/>
      <c r="AU90" s="140"/>
      <c r="AV90" s="140"/>
      <c r="AW90" s="140"/>
      <c r="AX90" s="140"/>
      <c r="AY90" s="140"/>
      <c r="AZ90" s="140"/>
      <c r="BA90" s="140"/>
      <c r="BB90" s="140"/>
      <c r="BC90" s="140"/>
      <c r="BD90" s="140"/>
      <c r="BE90" s="140"/>
      <c r="BF90" s="140"/>
      <c r="BG90" s="140"/>
      <c r="BH90" s="140"/>
      <c r="BI90" s="140"/>
    </row>
    <row r="91" spans="1:61" x14ac:dyDescent="0.3">
      <c r="A91" s="193" t="s">
        <v>431</v>
      </c>
      <c r="B91" s="194">
        <v>0.35299999999999998</v>
      </c>
      <c r="C91" s="194">
        <v>0.33300000000000002</v>
      </c>
      <c r="D91" s="194">
        <v>6</v>
      </c>
      <c r="E91" s="194">
        <v>0.375</v>
      </c>
      <c r="F91" s="194">
        <v>0.36399999999999999</v>
      </c>
      <c r="G91" s="194">
        <v>11</v>
      </c>
      <c r="H91" s="194">
        <v>0.36599999999999999</v>
      </c>
      <c r="I91" s="194">
        <v>0.4</v>
      </c>
      <c r="J91" s="194">
        <v>15</v>
      </c>
      <c r="K91" s="194">
        <v>0.43099999999999999</v>
      </c>
      <c r="L91" s="194">
        <v>0.33300000000000002</v>
      </c>
      <c r="M91" s="194">
        <v>15</v>
      </c>
      <c r="N91" s="194">
        <v>0.46</v>
      </c>
      <c r="O91" s="194">
        <v>0.52400000000000002</v>
      </c>
      <c r="P91" s="194">
        <v>21</v>
      </c>
      <c r="Q91" s="194">
        <v>0.47099999999999997</v>
      </c>
      <c r="R91" s="194">
        <v>0.48099999999999998</v>
      </c>
      <c r="S91" s="194">
        <v>27</v>
      </c>
      <c r="T91" s="194">
        <v>0.44700000000000001</v>
      </c>
      <c r="U91" s="194">
        <v>0.4</v>
      </c>
      <c r="V91" s="194">
        <v>20</v>
      </c>
      <c r="W91" s="194"/>
      <c r="X91" s="194"/>
      <c r="Y91" s="194"/>
      <c r="Z91" s="194"/>
      <c r="AA91" s="194"/>
      <c r="AB91" s="194"/>
      <c r="AC91" s="194"/>
      <c r="AD91" s="194"/>
      <c r="AE91" s="194"/>
      <c r="AF91" s="194"/>
      <c r="AG91" s="194"/>
      <c r="AH91" s="194"/>
      <c r="AI91" s="194"/>
      <c r="AJ91" s="194"/>
      <c r="AK91" s="194"/>
      <c r="AL91" s="140"/>
      <c r="AM91" s="140"/>
      <c r="AN91" s="140"/>
      <c r="AO91" s="140"/>
      <c r="AP91" s="140"/>
      <c r="AQ91" s="140"/>
      <c r="AR91" s="140"/>
      <c r="AS91" s="140"/>
      <c r="AT91" s="140"/>
      <c r="AU91" s="140"/>
      <c r="AV91" s="140"/>
      <c r="AW91" s="140"/>
      <c r="AX91" s="140"/>
      <c r="AY91" s="140"/>
      <c r="AZ91" s="140"/>
      <c r="BA91" s="140"/>
      <c r="BB91" s="140"/>
      <c r="BC91" s="140"/>
      <c r="BD91" s="140"/>
      <c r="BE91" s="140"/>
      <c r="BF91" s="140"/>
      <c r="BG91" s="140"/>
      <c r="BH91" s="140"/>
      <c r="BI91" s="140"/>
    </row>
    <row r="92" spans="1:61" x14ac:dyDescent="0.3">
      <c r="A92" s="193" t="s">
        <v>526</v>
      </c>
      <c r="B92" s="194">
        <v>0.222</v>
      </c>
      <c r="C92" s="194">
        <v>0.16700000000000001</v>
      </c>
      <c r="D92" s="194">
        <v>24</v>
      </c>
      <c r="E92" s="194">
        <v>0.32400000000000001</v>
      </c>
      <c r="F92" s="194">
        <v>0.28599999999999998</v>
      </c>
      <c r="G92" s="194">
        <v>21</v>
      </c>
      <c r="H92" s="194">
        <v>0.33300000000000002</v>
      </c>
      <c r="I92" s="194">
        <v>0.48299999999999998</v>
      </c>
      <c r="J92" s="194">
        <v>29</v>
      </c>
      <c r="K92" s="194">
        <v>0.30199999999999999</v>
      </c>
      <c r="L92" s="194">
        <v>0.23499999999999999</v>
      </c>
      <c r="M92" s="194">
        <v>34</v>
      </c>
      <c r="N92" s="194">
        <v>0.21099999999999999</v>
      </c>
      <c r="O92" s="194">
        <v>0.17399999999999999</v>
      </c>
      <c r="P92" s="194">
        <v>23</v>
      </c>
      <c r="Q92" s="194">
        <v>0.23300000000000001</v>
      </c>
      <c r="R92" s="194">
        <v>0.21099999999999999</v>
      </c>
      <c r="S92" s="194">
        <v>19</v>
      </c>
      <c r="T92" s="194">
        <v>0.26</v>
      </c>
      <c r="U92" s="194">
        <v>0.28999999999999998</v>
      </c>
      <c r="V92" s="194">
        <v>31</v>
      </c>
      <c r="W92" s="194"/>
      <c r="X92" s="194"/>
      <c r="Y92" s="194"/>
      <c r="Z92" s="194"/>
      <c r="AA92" s="194"/>
      <c r="AB92" s="194"/>
      <c r="AC92" s="194"/>
      <c r="AD92" s="194"/>
      <c r="AE92" s="194"/>
      <c r="AF92" s="194"/>
      <c r="AG92" s="194"/>
      <c r="AH92" s="194"/>
      <c r="AI92" s="194"/>
      <c r="AJ92" s="194"/>
      <c r="AK92" s="194"/>
      <c r="AL92" s="140"/>
      <c r="AM92" s="140"/>
      <c r="AN92" s="140"/>
      <c r="AO92" s="140"/>
      <c r="AP92" s="140"/>
      <c r="AQ92" s="140"/>
      <c r="AR92" s="140"/>
      <c r="AS92" s="140"/>
      <c r="AT92" s="140"/>
      <c r="AU92" s="140"/>
      <c r="AV92" s="140"/>
      <c r="AW92" s="140"/>
      <c r="AX92" s="140"/>
      <c r="AY92" s="140"/>
      <c r="AZ92" s="140"/>
      <c r="BA92" s="140"/>
      <c r="BB92" s="140"/>
      <c r="BC92" s="140"/>
      <c r="BD92" s="140"/>
      <c r="BE92" s="140"/>
      <c r="BF92" s="140"/>
      <c r="BG92" s="140"/>
      <c r="BH92" s="140"/>
      <c r="BI92" s="140"/>
    </row>
    <row r="93" spans="1:61" x14ac:dyDescent="0.3">
      <c r="A93" s="193" t="s">
        <v>435</v>
      </c>
      <c r="B93" s="194">
        <v>0.32700000000000001</v>
      </c>
      <c r="C93" s="194">
        <v>0.35699999999999998</v>
      </c>
      <c r="D93" s="194">
        <v>28</v>
      </c>
      <c r="E93" s="194">
        <v>0.36899999999999999</v>
      </c>
      <c r="F93" s="194">
        <v>0.29599999999999999</v>
      </c>
      <c r="G93" s="194">
        <v>27</v>
      </c>
      <c r="H93" s="194">
        <v>0.41499999999999998</v>
      </c>
      <c r="I93" s="194">
        <v>0.44800000000000001</v>
      </c>
      <c r="J93" s="194">
        <v>29</v>
      </c>
      <c r="K93" s="194">
        <v>0.48399999999999999</v>
      </c>
      <c r="L93" s="194">
        <v>0.5</v>
      </c>
      <c r="M93" s="194">
        <v>26</v>
      </c>
      <c r="N93" s="194">
        <v>0.48</v>
      </c>
      <c r="O93" s="194">
        <v>0.5</v>
      </c>
      <c r="P93" s="194">
        <v>38</v>
      </c>
      <c r="Q93" s="194">
        <v>0.53200000000000003</v>
      </c>
      <c r="R93" s="194">
        <v>0.44700000000000001</v>
      </c>
      <c r="S93" s="194">
        <v>38</v>
      </c>
      <c r="T93" s="194">
        <v>0.54800000000000004</v>
      </c>
      <c r="U93" s="194">
        <v>0.65700000000000003</v>
      </c>
      <c r="V93" s="194">
        <v>35</v>
      </c>
      <c r="W93" s="194"/>
      <c r="X93" s="194"/>
      <c r="Y93" s="194"/>
      <c r="Z93" s="194"/>
      <c r="AA93" s="194"/>
      <c r="AB93" s="194"/>
      <c r="AC93" s="194"/>
      <c r="AD93" s="194"/>
      <c r="AE93" s="194"/>
      <c r="AF93" s="194"/>
      <c r="AG93" s="194"/>
      <c r="AH93" s="194"/>
      <c r="AI93" s="194"/>
      <c r="AJ93" s="194"/>
      <c r="AK93" s="194"/>
      <c r="AL93" s="140"/>
      <c r="AM93" s="140"/>
      <c r="AN93" s="140"/>
      <c r="AO93" s="140"/>
      <c r="AP93" s="140"/>
      <c r="AQ93" s="140"/>
      <c r="AR93" s="140"/>
      <c r="AS93" s="140"/>
      <c r="AT93" s="140"/>
      <c r="AU93" s="140"/>
      <c r="AV93" s="140"/>
      <c r="AW93" s="140"/>
      <c r="AX93" s="140"/>
      <c r="AY93" s="140"/>
      <c r="AZ93" s="140"/>
      <c r="BA93" s="140"/>
      <c r="BB93" s="140"/>
      <c r="BC93" s="140"/>
      <c r="BD93" s="140"/>
      <c r="BE93" s="140"/>
      <c r="BF93" s="140"/>
      <c r="BG93" s="140"/>
      <c r="BH93" s="140"/>
      <c r="BI93" s="140"/>
    </row>
    <row r="94" spans="1:61" x14ac:dyDescent="0.3">
      <c r="A94" s="193" t="s">
        <v>267</v>
      </c>
      <c r="B94" s="194">
        <v>0.52400000000000002</v>
      </c>
      <c r="C94" s="194">
        <v>0.45500000000000002</v>
      </c>
      <c r="D94" s="194">
        <v>11</v>
      </c>
      <c r="E94" s="194">
        <v>0.60599999999999998</v>
      </c>
      <c r="F94" s="194">
        <v>0.6</v>
      </c>
      <c r="G94" s="194">
        <v>10</v>
      </c>
      <c r="H94" s="194">
        <v>0.63600000000000001</v>
      </c>
      <c r="I94" s="194">
        <v>0.75</v>
      </c>
      <c r="J94" s="194">
        <v>12</v>
      </c>
      <c r="K94" s="194">
        <v>0.53600000000000003</v>
      </c>
      <c r="L94" s="194">
        <v>0.59099999999999997</v>
      </c>
      <c r="M94" s="194">
        <v>22</v>
      </c>
      <c r="N94" s="194">
        <v>0.45500000000000002</v>
      </c>
      <c r="O94" s="194">
        <v>0.36399999999999999</v>
      </c>
      <c r="P94" s="194">
        <v>22</v>
      </c>
      <c r="Q94" s="194">
        <v>0.42599999999999999</v>
      </c>
      <c r="R94" s="194">
        <v>0.40899999999999997</v>
      </c>
      <c r="S94" s="194">
        <v>22</v>
      </c>
      <c r="T94" s="194">
        <v>0.46899999999999997</v>
      </c>
      <c r="U94" s="194">
        <v>0.6</v>
      </c>
      <c r="V94" s="194">
        <v>10</v>
      </c>
      <c r="W94" s="194"/>
      <c r="X94" s="194"/>
      <c r="Y94" s="194"/>
      <c r="Z94" s="194"/>
      <c r="AA94" s="194"/>
      <c r="AB94" s="194"/>
      <c r="AC94" s="194"/>
      <c r="AD94" s="194"/>
      <c r="AE94" s="194"/>
      <c r="AF94" s="194"/>
      <c r="AG94" s="194"/>
      <c r="AH94" s="194"/>
      <c r="AI94" s="194"/>
      <c r="AJ94" s="194"/>
      <c r="AK94" s="194"/>
      <c r="AL94" s="140"/>
      <c r="AM94" s="140"/>
      <c r="AN94" s="140"/>
      <c r="AO94" s="140"/>
      <c r="AP94" s="140"/>
      <c r="AQ94" s="140"/>
      <c r="AR94" s="140"/>
      <c r="AS94" s="140"/>
      <c r="AT94" s="140"/>
      <c r="AU94" s="140"/>
      <c r="AV94" s="140"/>
      <c r="AW94" s="140"/>
      <c r="AX94" s="140"/>
      <c r="AY94" s="140"/>
      <c r="AZ94" s="140"/>
      <c r="BA94" s="140"/>
      <c r="BB94" s="140"/>
      <c r="BC94" s="140"/>
      <c r="BD94" s="140"/>
      <c r="BE94" s="140"/>
      <c r="BF94" s="140"/>
      <c r="BG94" s="140"/>
      <c r="BH94" s="140"/>
      <c r="BI94" s="140"/>
    </row>
    <row r="95" spans="1:61" x14ac:dyDescent="0.3">
      <c r="A95" s="193" t="s">
        <v>484</v>
      </c>
      <c r="B95" s="194">
        <v>0.38500000000000001</v>
      </c>
      <c r="C95" s="194">
        <v>0.42899999999999999</v>
      </c>
      <c r="D95" s="194">
        <v>21</v>
      </c>
      <c r="E95" s="194">
        <v>0.42399999999999999</v>
      </c>
      <c r="F95" s="194">
        <v>0.33300000000000002</v>
      </c>
      <c r="G95" s="194">
        <v>18</v>
      </c>
      <c r="H95" s="194">
        <v>0.38600000000000001</v>
      </c>
      <c r="I95" s="194">
        <v>0.5</v>
      </c>
      <c r="J95" s="194">
        <v>20</v>
      </c>
      <c r="K95" s="194">
        <v>0.35799999999999998</v>
      </c>
      <c r="L95" s="194">
        <v>0.316</v>
      </c>
      <c r="M95" s="194">
        <v>19</v>
      </c>
      <c r="N95" s="194">
        <v>0.28000000000000003</v>
      </c>
      <c r="O95" s="194">
        <v>0.28599999999999998</v>
      </c>
      <c r="P95" s="194">
        <v>28</v>
      </c>
      <c r="Q95" s="194">
        <v>0.26600000000000001</v>
      </c>
      <c r="R95" s="194">
        <v>0.25</v>
      </c>
      <c r="S95" s="194">
        <v>28</v>
      </c>
      <c r="T95" s="194">
        <v>0.255</v>
      </c>
      <c r="U95" s="194">
        <v>0.26100000000000001</v>
      </c>
      <c r="V95" s="194">
        <v>23</v>
      </c>
      <c r="W95" s="194"/>
      <c r="X95" s="194"/>
      <c r="Y95" s="194"/>
      <c r="Z95" s="194"/>
      <c r="AA95" s="194"/>
      <c r="AB95" s="194"/>
      <c r="AC95" s="194"/>
      <c r="AD95" s="194"/>
      <c r="AE95" s="194"/>
      <c r="AF95" s="194"/>
      <c r="AG95" s="194"/>
      <c r="AH95" s="194"/>
      <c r="AI95" s="194"/>
      <c r="AJ95" s="194"/>
      <c r="AK95" s="194"/>
      <c r="AL95" s="140"/>
      <c r="AM95" s="140"/>
      <c r="AN95" s="140"/>
      <c r="AO95" s="140"/>
      <c r="AP95" s="140"/>
      <c r="AQ95" s="140"/>
      <c r="AR95" s="140"/>
      <c r="AS95" s="140"/>
      <c r="AT95" s="140"/>
      <c r="AU95" s="140"/>
      <c r="AV95" s="140"/>
      <c r="AW95" s="140"/>
      <c r="AX95" s="140"/>
      <c r="AY95" s="140"/>
      <c r="AZ95" s="140"/>
      <c r="BA95" s="140"/>
      <c r="BB95" s="140"/>
      <c r="BC95" s="140"/>
      <c r="BD95" s="140"/>
      <c r="BE95" s="140"/>
      <c r="BF95" s="140"/>
      <c r="BG95" s="140"/>
      <c r="BH95" s="140"/>
      <c r="BI95" s="140"/>
    </row>
    <row r="96" spans="1:61" x14ac:dyDescent="0.3">
      <c r="A96" s="193" t="s">
        <v>470</v>
      </c>
      <c r="B96" s="194">
        <v>0.54800000000000004</v>
      </c>
      <c r="C96" s="194">
        <v>0.5</v>
      </c>
      <c r="D96" s="194">
        <v>12</v>
      </c>
      <c r="E96" s="194">
        <v>0.48899999999999999</v>
      </c>
      <c r="F96" s="194">
        <v>0.57899999999999996</v>
      </c>
      <c r="G96" s="194">
        <v>19</v>
      </c>
      <c r="H96" s="194">
        <v>0.40799999999999997</v>
      </c>
      <c r="I96" s="194">
        <v>0.375</v>
      </c>
      <c r="J96" s="194">
        <v>16</v>
      </c>
      <c r="K96" s="194">
        <v>0.34699999999999998</v>
      </c>
      <c r="L96" s="194">
        <v>0.214</v>
      </c>
      <c r="M96" s="194">
        <v>14</v>
      </c>
      <c r="N96" s="194">
        <v>0.39200000000000002</v>
      </c>
      <c r="O96" s="194">
        <v>0.42099999999999999</v>
      </c>
      <c r="P96" s="194">
        <v>19</v>
      </c>
      <c r="Q96" s="194">
        <v>0.44900000000000001</v>
      </c>
      <c r="R96" s="194">
        <v>0.5</v>
      </c>
      <c r="S96" s="194">
        <v>18</v>
      </c>
      <c r="T96" s="194">
        <v>0.46700000000000003</v>
      </c>
      <c r="U96" s="194">
        <v>0.41699999999999998</v>
      </c>
      <c r="V96" s="194">
        <v>12</v>
      </c>
      <c r="W96" s="194"/>
      <c r="X96" s="194"/>
      <c r="Y96" s="194"/>
      <c r="Z96" s="194"/>
      <c r="AA96" s="194"/>
      <c r="AB96" s="194"/>
      <c r="AC96" s="194"/>
      <c r="AD96" s="194"/>
      <c r="AE96" s="194"/>
      <c r="AF96" s="194"/>
      <c r="AG96" s="194"/>
      <c r="AH96" s="194"/>
      <c r="AI96" s="194"/>
      <c r="AJ96" s="194"/>
      <c r="AK96" s="194"/>
      <c r="AL96" s="140"/>
      <c r="AM96" s="140"/>
      <c r="AN96" s="140"/>
      <c r="AO96" s="140"/>
      <c r="AP96" s="140"/>
      <c r="AQ96" s="140"/>
      <c r="AR96" s="140"/>
      <c r="AS96" s="140"/>
      <c r="AT96" s="140"/>
      <c r="AU96" s="140"/>
      <c r="AV96" s="140"/>
      <c r="AW96" s="140"/>
      <c r="AX96" s="140"/>
      <c r="AY96" s="140"/>
      <c r="AZ96" s="140"/>
      <c r="BA96" s="140"/>
      <c r="BB96" s="140"/>
      <c r="BC96" s="140"/>
      <c r="BD96" s="140"/>
      <c r="BE96" s="140"/>
      <c r="BF96" s="140"/>
      <c r="BG96" s="140"/>
      <c r="BH96" s="140"/>
      <c r="BI96" s="140"/>
    </row>
    <row r="97" spans="1:61" x14ac:dyDescent="0.3">
      <c r="A97" s="193" t="s">
        <v>530</v>
      </c>
      <c r="B97" s="194">
        <v>0.125</v>
      </c>
      <c r="C97" s="194">
        <v>0</v>
      </c>
      <c r="D97" s="194">
        <v>11</v>
      </c>
      <c r="E97" s="194">
        <v>8.7999999999999995E-2</v>
      </c>
      <c r="F97" s="194">
        <v>0.23100000000000001</v>
      </c>
      <c r="G97" s="194">
        <v>13</v>
      </c>
      <c r="H97" s="194">
        <v>0.13800000000000001</v>
      </c>
      <c r="I97" s="194">
        <v>0</v>
      </c>
      <c r="J97" s="194">
        <v>10</v>
      </c>
      <c r="K97" s="194">
        <v>0.182</v>
      </c>
      <c r="L97" s="194">
        <v>0.16700000000000001</v>
      </c>
      <c r="M97" s="194">
        <v>6</v>
      </c>
      <c r="N97" s="194">
        <v>0.23499999999999999</v>
      </c>
      <c r="O97" s="194">
        <v>0.5</v>
      </c>
      <c r="P97" s="194">
        <v>6</v>
      </c>
      <c r="Q97" s="194">
        <v>0.25</v>
      </c>
      <c r="R97" s="194">
        <v>0</v>
      </c>
      <c r="S97" s="194">
        <v>5</v>
      </c>
      <c r="T97" s="194">
        <v>0.1</v>
      </c>
      <c r="U97" s="194">
        <v>0.2</v>
      </c>
      <c r="V97" s="194">
        <v>5</v>
      </c>
      <c r="W97" s="194"/>
      <c r="X97" s="194"/>
      <c r="Y97" s="194"/>
      <c r="Z97" s="194"/>
      <c r="AA97" s="194"/>
      <c r="AB97" s="194"/>
      <c r="AC97" s="194"/>
      <c r="AD97" s="194"/>
      <c r="AE97" s="194"/>
      <c r="AF97" s="194"/>
      <c r="AG97" s="194"/>
      <c r="AH97" s="194"/>
      <c r="AI97" s="194"/>
      <c r="AJ97" s="194"/>
      <c r="AK97" s="194"/>
      <c r="AL97" s="140"/>
      <c r="AM97" s="140"/>
      <c r="AN97" s="140"/>
      <c r="AO97" s="140"/>
      <c r="AP97" s="140"/>
      <c r="AQ97" s="140"/>
      <c r="AR97" s="140"/>
      <c r="AS97" s="140"/>
      <c r="AT97" s="140"/>
      <c r="AU97" s="140"/>
      <c r="AV97" s="140"/>
      <c r="AW97" s="140"/>
      <c r="AX97" s="140"/>
      <c r="AY97" s="140"/>
      <c r="AZ97" s="140"/>
      <c r="BA97" s="140"/>
      <c r="BB97" s="140"/>
      <c r="BC97" s="140"/>
      <c r="BD97" s="140"/>
      <c r="BE97" s="140"/>
      <c r="BF97" s="140"/>
      <c r="BG97" s="140"/>
      <c r="BH97" s="140"/>
      <c r="BI97" s="140"/>
    </row>
    <row r="98" spans="1:61" x14ac:dyDescent="0.3">
      <c r="A98" s="193" t="s">
        <v>416</v>
      </c>
      <c r="B98" s="194">
        <v>0.36599999999999999</v>
      </c>
      <c r="C98" s="194">
        <v>0.27500000000000002</v>
      </c>
      <c r="D98" s="194">
        <v>40</v>
      </c>
      <c r="E98" s="194">
        <v>0.30399999999999999</v>
      </c>
      <c r="F98" s="194">
        <v>0.434</v>
      </c>
      <c r="G98" s="194">
        <v>53</v>
      </c>
      <c r="H98" s="194">
        <v>0.32100000000000001</v>
      </c>
      <c r="I98" s="194">
        <v>0.221</v>
      </c>
      <c r="J98" s="194">
        <v>68</v>
      </c>
      <c r="K98" s="194">
        <v>0.32400000000000001</v>
      </c>
      <c r="L98" s="194">
        <v>0.33300000000000002</v>
      </c>
      <c r="M98" s="194">
        <v>69</v>
      </c>
      <c r="N98" s="194">
        <v>0.39100000000000001</v>
      </c>
      <c r="O98" s="194">
        <v>0.45100000000000001</v>
      </c>
      <c r="P98" s="194">
        <v>51</v>
      </c>
      <c r="Q98" s="194">
        <v>0.442</v>
      </c>
      <c r="R98" s="194">
        <v>0.40600000000000003</v>
      </c>
      <c r="S98" s="194">
        <v>64</v>
      </c>
      <c r="T98" s="194">
        <v>0.438</v>
      </c>
      <c r="U98" s="194">
        <v>0.47399999999999998</v>
      </c>
      <c r="V98" s="194">
        <v>57</v>
      </c>
      <c r="W98" s="194"/>
      <c r="X98" s="194"/>
      <c r="Y98" s="194"/>
      <c r="Z98" s="194"/>
      <c r="AA98" s="194"/>
      <c r="AB98" s="194"/>
      <c r="AC98" s="194"/>
      <c r="AD98" s="194"/>
      <c r="AE98" s="194"/>
      <c r="AF98" s="194"/>
      <c r="AG98" s="194"/>
      <c r="AH98" s="194"/>
      <c r="AI98" s="194"/>
      <c r="AJ98" s="194"/>
      <c r="AK98" s="194"/>
      <c r="AL98" s="140"/>
      <c r="AM98" s="140"/>
      <c r="AN98" s="140"/>
      <c r="AO98" s="140"/>
      <c r="AP98" s="140"/>
      <c r="AQ98" s="140"/>
      <c r="AR98" s="140"/>
      <c r="AS98" s="140"/>
      <c r="AT98" s="140"/>
      <c r="AU98" s="140"/>
      <c r="AV98" s="140"/>
      <c r="AW98" s="140"/>
      <c r="AX98" s="140"/>
      <c r="AY98" s="140"/>
      <c r="AZ98" s="140"/>
      <c r="BA98" s="140"/>
      <c r="BB98" s="140"/>
      <c r="BC98" s="140"/>
      <c r="BD98" s="140"/>
      <c r="BE98" s="140"/>
      <c r="BF98" s="140"/>
      <c r="BG98" s="140"/>
      <c r="BH98" s="140"/>
      <c r="BI98" s="140"/>
    </row>
    <row r="99" spans="1:61" x14ac:dyDescent="0.3">
      <c r="A99" s="193" t="s">
        <v>350</v>
      </c>
      <c r="B99" s="194">
        <v>0.316</v>
      </c>
      <c r="C99" s="194">
        <v>0.2</v>
      </c>
      <c r="D99" s="194">
        <v>5</v>
      </c>
      <c r="E99" s="194">
        <v>0.32300000000000001</v>
      </c>
      <c r="F99" s="194">
        <v>0.35699999999999998</v>
      </c>
      <c r="G99" s="194">
        <v>14</v>
      </c>
      <c r="H99" s="194">
        <v>0.35499999999999998</v>
      </c>
      <c r="I99" s="194">
        <v>0.33300000000000002</v>
      </c>
      <c r="J99" s="194">
        <v>12</v>
      </c>
      <c r="K99" s="194">
        <v>0.45800000000000002</v>
      </c>
      <c r="L99" s="194">
        <v>0.4</v>
      </c>
      <c r="M99" s="194">
        <v>5</v>
      </c>
      <c r="N99" s="194">
        <v>0.52900000000000003</v>
      </c>
      <c r="O99" s="194">
        <v>0.71399999999999997</v>
      </c>
      <c r="P99" s="194">
        <v>7</v>
      </c>
      <c r="Q99" s="194">
        <v>0.52900000000000003</v>
      </c>
      <c r="R99" s="194">
        <v>0.4</v>
      </c>
      <c r="S99" s="194">
        <v>5</v>
      </c>
      <c r="T99" s="194">
        <v>0.4</v>
      </c>
      <c r="U99" s="194">
        <v>0.4</v>
      </c>
      <c r="V99" s="194">
        <v>5</v>
      </c>
      <c r="W99" s="194"/>
      <c r="X99" s="194"/>
      <c r="Y99" s="194"/>
      <c r="Z99" s="194"/>
      <c r="AA99" s="194"/>
      <c r="AB99" s="194"/>
      <c r="AC99" s="194"/>
      <c r="AD99" s="194"/>
      <c r="AE99" s="194"/>
      <c r="AF99" s="194"/>
      <c r="AG99" s="194"/>
      <c r="AH99" s="194"/>
      <c r="AI99" s="194"/>
      <c r="AJ99" s="194"/>
      <c r="AK99" s="194"/>
      <c r="AL99" s="140"/>
      <c r="AM99" s="140"/>
      <c r="AN99" s="140"/>
      <c r="AO99" s="140"/>
      <c r="AP99" s="140"/>
      <c r="AQ99" s="140"/>
      <c r="AR99" s="140"/>
      <c r="AS99" s="140"/>
      <c r="AT99" s="140"/>
      <c r="AU99" s="140"/>
      <c r="AV99" s="140"/>
      <c r="AW99" s="140"/>
      <c r="AX99" s="140"/>
      <c r="AY99" s="140"/>
      <c r="AZ99" s="140"/>
      <c r="BA99" s="140"/>
      <c r="BB99" s="140"/>
      <c r="BC99" s="140"/>
      <c r="BD99" s="140"/>
      <c r="BE99" s="140"/>
      <c r="BF99" s="140"/>
      <c r="BG99" s="140"/>
      <c r="BH99" s="140"/>
      <c r="BI99" s="140"/>
    </row>
    <row r="100" spans="1:61" x14ac:dyDescent="0.3">
      <c r="A100" s="193" t="s">
        <v>341</v>
      </c>
      <c r="B100" s="194">
        <v>0.5</v>
      </c>
      <c r="C100" s="194">
        <v>0.52600000000000002</v>
      </c>
      <c r="D100" s="194">
        <v>38</v>
      </c>
      <c r="E100" s="194">
        <v>0.49</v>
      </c>
      <c r="F100" s="194">
        <v>0.47199999999999998</v>
      </c>
      <c r="G100" s="194">
        <v>36</v>
      </c>
      <c r="H100" s="194">
        <v>0.46</v>
      </c>
      <c r="I100" s="194">
        <v>0.46400000000000002</v>
      </c>
      <c r="J100" s="194">
        <v>28</v>
      </c>
      <c r="K100" s="194">
        <v>0.36899999999999999</v>
      </c>
      <c r="L100" s="194">
        <v>0.435</v>
      </c>
      <c r="M100" s="194">
        <v>23</v>
      </c>
      <c r="N100" s="194">
        <v>0.41199999999999998</v>
      </c>
      <c r="O100" s="194">
        <v>0.24199999999999999</v>
      </c>
      <c r="P100" s="194">
        <v>33</v>
      </c>
      <c r="Q100" s="194">
        <v>0.47399999999999998</v>
      </c>
      <c r="R100" s="194">
        <v>0.58599999999999997</v>
      </c>
      <c r="S100" s="194">
        <v>29</v>
      </c>
      <c r="T100" s="194">
        <v>0.59399999999999997</v>
      </c>
      <c r="U100" s="194">
        <v>0.6</v>
      </c>
      <c r="V100" s="194">
        <v>35</v>
      </c>
      <c r="W100" s="194"/>
      <c r="X100" s="194"/>
      <c r="Y100" s="194"/>
      <c r="Z100" s="194"/>
      <c r="AA100" s="194"/>
      <c r="AB100" s="194"/>
      <c r="AC100" s="194"/>
      <c r="AD100" s="194"/>
      <c r="AE100" s="194"/>
      <c r="AF100" s="194"/>
      <c r="AG100" s="194"/>
      <c r="AH100" s="194"/>
      <c r="AI100" s="194"/>
      <c r="AJ100" s="194"/>
      <c r="AK100" s="194"/>
      <c r="AL100" s="140"/>
      <c r="AM100" s="140"/>
      <c r="AN100" s="140"/>
      <c r="AO100" s="140"/>
      <c r="AP100" s="140"/>
      <c r="AQ100" s="140"/>
      <c r="AR100" s="140"/>
      <c r="AS100" s="140"/>
      <c r="AT100" s="140"/>
      <c r="AU100" s="140"/>
      <c r="AV100" s="140"/>
      <c r="AW100" s="140"/>
      <c r="AX100" s="140"/>
      <c r="AY100" s="140"/>
      <c r="AZ100" s="140"/>
      <c r="BA100" s="140"/>
      <c r="BB100" s="140"/>
      <c r="BC100" s="140"/>
      <c r="BD100" s="140"/>
      <c r="BE100" s="140"/>
      <c r="BF100" s="140"/>
      <c r="BG100" s="140"/>
      <c r="BH100" s="140"/>
      <c r="BI100" s="140"/>
    </row>
    <row r="101" spans="1:61" x14ac:dyDescent="0.3">
      <c r="A101" s="193" t="s">
        <v>423</v>
      </c>
      <c r="B101" s="194">
        <v>0.48</v>
      </c>
      <c r="C101" s="194">
        <v>0.33300000000000002</v>
      </c>
      <c r="D101" s="194">
        <v>15</v>
      </c>
      <c r="E101" s="194">
        <v>0.48599999999999999</v>
      </c>
      <c r="F101" s="194">
        <v>0.7</v>
      </c>
      <c r="G101" s="194">
        <v>10</v>
      </c>
      <c r="H101" s="194">
        <v>0.48499999999999999</v>
      </c>
      <c r="I101" s="194">
        <v>0.5</v>
      </c>
      <c r="J101" s="194">
        <v>12</v>
      </c>
      <c r="K101" s="194">
        <v>0.41199999999999998</v>
      </c>
      <c r="L101" s="194">
        <v>0.27300000000000002</v>
      </c>
      <c r="M101" s="194">
        <v>11</v>
      </c>
      <c r="N101" s="194">
        <v>0.38200000000000001</v>
      </c>
      <c r="O101" s="194">
        <v>0.45500000000000002</v>
      </c>
      <c r="P101" s="194">
        <v>11</v>
      </c>
      <c r="Q101" s="194">
        <v>0.311</v>
      </c>
      <c r="R101" s="194">
        <v>0.41699999999999998</v>
      </c>
      <c r="S101" s="194">
        <v>12</v>
      </c>
      <c r="T101" s="194">
        <v>0.26500000000000001</v>
      </c>
      <c r="U101" s="194">
        <v>0.182</v>
      </c>
      <c r="V101" s="194">
        <v>22</v>
      </c>
      <c r="W101" s="194"/>
      <c r="X101" s="194"/>
      <c r="Y101" s="194"/>
      <c r="Z101" s="194"/>
      <c r="AA101" s="194"/>
      <c r="AB101" s="194"/>
      <c r="AC101" s="194"/>
      <c r="AD101" s="194"/>
      <c r="AE101" s="194"/>
      <c r="AF101" s="194"/>
      <c r="AG101" s="194"/>
      <c r="AH101" s="194"/>
      <c r="AI101" s="194"/>
      <c r="AJ101" s="194"/>
      <c r="AK101" s="194"/>
      <c r="AL101" s="140"/>
      <c r="AM101" s="140"/>
      <c r="AN101" s="140"/>
      <c r="AO101" s="140"/>
      <c r="AP101" s="140"/>
      <c r="AQ101" s="140"/>
      <c r="AR101" s="140"/>
      <c r="AS101" s="140"/>
      <c r="AT101" s="140"/>
      <c r="AU101" s="140"/>
      <c r="AV101" s="140"/>
      <c r="AW101" s="140"/>
      <c r="AX101" s="140"/>
      <c r="AY101" s="140"/>
      <c r="AZ101" s="140"/>
      <c r="BA101" s="140"/>
      <c r="BB101" s="140"/>
      <c r="BC101" s="140"/>
      <c r="BD101" s="140"/>
      <c r="BE101" s="140"/>
      <c r="BF101" s="140"/>
      <c r="BG101" s="140"/>
      <c r="BH101" s="140"/>
      <c r="BI101" s="140"/>
    </row>
    <row r="102" spans="1:61" x14ac:dyDescent="0.3">
      <c r="A102" s="193" t="s">
        <v>374</v>
      </c>
      <c r="B102" s="194">
        <v>0.49</v>
      </c>
      <c r="C102" s="194">
        <v>0.64300000000000002</v>
      </c>
      <c r="D102" s="194">
        <v>28</v>
      </c>
      <c r="E102" s="194">
        <v>0.47799999999999998</v>
      </c>
      <c r="F102" s="194">
        <v>0.28599999999999998</v>
      </c>
      <c r="G102" s="194">
        <v>21</v>
      </c>
      <c r="H102" s="194">
        <v>0.47099999999999997</v>
      </c>
      <c r="I102" s="194">
        <v>0.45</v>
      </c>
      <c r="J102" s="194">
        <v>20</v>
      </c>
      <c r="K102" s="194">
        <v>0.56499999999999995</v>
      </c>
      <c r="L102" s="194">
        <v>0.621</v>
      </c>
      <c r="M102" s="194">
        <v>29</v>
      </c>
      <c r="N102" s="194">
        <v>0.61499999999999999</v>
      </c>
      <c r="O102" s="194">
        <v>0.6</v>
      </c>
      <c r="P102" s="194">
        <v>20</v>
      </c>
      <c r="Q102" s="194">
        <v>0.64900000000000002</v>
      </c>
      <c r="R102" s="194">
        <v>0.621</v>
      </c>
      <c r="S102" s="194">
        <v>29</v>
      </c>
      <c r="T102" s="194">
        <v>0.66700000000000004</v>
      </c>
      <c r="U102" s="194">
        <v>0.71399999999999997</v>
      </c>
      <c r="V102" s="194">
        <v>28</v>
      </c>
      <c r="W102" s="194"/>
      <c r="X102" s="194"/>
      <c r="Y102" s="194"/>
      <c r="Z102" s="194"/>
      <c r="AA102" s="194"/>
      <c r="AB102" s="194"/>
      <c r="AC102" s="194"/>
      <c r="AD102" s="194"/>
      <c r="AE102" s="194"/>
      <c r="AF102" s="194"/>
      <c r="AG102" s="194"/>
      <c r="AH102" s="194"/>
      <c r="AI102" s="194"/>
      <c r="AJ102" s="194"/>
      <c r="AK102" s="194"/>
      <c r="AL102" s="140"/>
      <c r="AM102" s="140"/>
      <c r="AN102" s="140"/>
      <c r="AO102" s="140"/>
      <c r="AP102" s="140"/>
      <c r="AQ102" s="140"/>
      <c r="AR102" s="140"/>
      <c r="AS102" s="140"/>
      <c r="AT102" s="140"/>
      <c r="AU102" s="140"/>
      <c r="AV102" s="140"/>
      <c r="AW102" s="140"/>
      <c r="AX102" s="140"/>
      <c r="AY102" s="140"/>
      <c r="AZ102" s="140"/>
      <c r="BA102" s="140"/>
      <c r="BB102" s="140"/>
      <c r="BC102" s="140"/>
      <c r="BD102" s="140"/>
      <c r="BE102" s="140"/>
      <c r="BF102" s="140"/>
      <c r="BG102" s="140"/>
      <c r="BH102" s="140"/>
      <c r="BI102" s="140"/>
    </row>
    <row r="103" spans="1:61" x14ac:dyDescent="0.3">
      <c r="A103" s="193" t="s">
        <v>512</v>
      </c>
      <c r="B103" s="194">
        <v>0.36599999999999999</v>
      </c>
      <c r="C103" s="194">
        <v>0.38500000000000001</v>
      </c>
      <c r="D103" s="194">
        <v>26</v>
      </c>
      <c r="E103" s="194">
        <v>0.36799999999999999</v>
      </c>
      <c r="F103" s="194">
        <v>0.33300000000000002</v>
      </c>
      <c r="G103" s="194">
        <v>15</v>
      </c>
      <c r="H103" s="194">
        <v>0.4</v>
      </c>
      <c r="I103" s="194">
        <v>0.375</v>
      </c>
      <c r="J103" s="194">
        <v>16</v>
      </c>
      <c r="K103" s="194">
        <v>0.441</v>
      </c>
      <c r="L103" s="194">
        <v>0.44800000000000001</v>
      </c>
      <c r="M103" s="194">
        <v>29</v>
      </c>
      <c r="N103" s="194">
        <v>0.52800000000000002</v>
      </c>
      <c r="O103" s="194">
        <v>0.47799999999999998</v>
      </c>
      <c r="P103" s="194">
        <v>23</v>
      </c>
      <c r="Q103" s="194">
        <v>0.48199999999999998</v>
      </c>
      <c r="R103" s="194">
        <v>0.622</v>
      </c>
      <c r="S103" s="194">
        <v>37</v>
      </c>
      <c r="T103" s="194">
        <v>0.48399999999999999</v>
      </c>
      <c r="U103" s="194">
        <v>0.28000000000000003</v>
      </c>
      <c r="V103" s="194">
        <v>25</v>
      </c>
      <c r="W103" s="194"/>
      <c r="X103" s="194"/>
      <c r="Y103" s="194"/>
      <c r="Z103" s="194"/>
      <c r="AA103" s="194"/>
      <c r="AB103" s="194"/>
      <c r="AC103" s="194"/>
      <c r="AD103" s="194"/>
      <c r="AE103" s="194"/>
      <c r="AF103" s="194"/>
      <c r="AG103" s="194"/>
      <c r="AH103" s="194"/>
      <c r="AI103" s="194"/>
      <c r="AJ103" s="194"/>
      <c r="AK103" s="194"/>
      <c r="AL103" s="140"/>
      <c r="AM103" s="140"/>
      <c r="AN103" s="140"/>
      <c r="AO103" s="140"/>
      <c r="AP103" s="140"/>
      <c r="AQ103" s="140"/>
      <c r="AR103" s="140"/>
      <c r="AS103" s="140"/>
      <c r="AT103" s="140"/>
      <c r="AU103" s="140"/>
      <c r="AV103" s="140"/>
      <c r="AW103" s="140"/>
      <c r="AX103" s="140"/>
      <c r="AY103" s="140"/>
      <c r="AZ103" s="140"/>
      <c r="BA103" s="140"/>
      <c r="BB103" s="140"/>
      <c r="BC103" s="140"/>
      <c r="BD103" s="140"/>
      <c r="BE103" s="140"/>
      <c r="BF103" s="140"/>
      <c r="BG103" s="140"/>
      <c r="BH103" s="140"/>
      <c r="BI103" s="140"/>
    </row>
    <row r="104" spans="1:61" x14ac:dyDescent="0.3">
      <c r="A104" s="193" t="s">
        <v>528</v>
      </c>
      <c r="B104" s="194">
        <v>0.66</v>
      </c>
      <c r="C104" s="194">
        <v>0.71899999999999997</v>
      </c>
      <c r="D104" s="194">
        <v>32</v>
      </c>
      <c r="E104" s="194">
        <v>0.622</v>
      </c>
      <c r="F104" s="194">
        <v>0.55600000000000005</v>
      </c>
      <c r="G104" s="194">
        <v>18</v>
      </c>
      <c r="H104" s="194">
        <v>0.57399999999999995</v>
      </c>
      <c r="I104" s="194">
        <v>0.54200000000000004</v>
      </c>
      <c r="J104" s="194">
        <v>24</v>
      </c>
      <c r="K104" s="194">
        <v>0.51300000000000001</v>
      </c>
      <c r="L104" s="194">
        <v>0.61499999999999999</v>
      </c>
      <c r="M104" s="194">
        <v>26</v>
      </c>
      <c r="N104" s="194">
        <v>0.59</v>
      </c>
      <c r="O104" s="194">
        <v>0.38500000000000001</v>
      </c>
      <c r="P104" s="194">
        <v>26</v>
      </c>
      <c r="Q104" s="194">
        <v>0.53800000000000003</v>
      </c>
      <c r="R104" s="194">
        <v>0.76900000000000002</v>
      </c>
      <c r="S104" s="194">
        <v>26</v>
      </c>
      <c r="T104" s="194">
        <v>0.61099999999999999</v>
      </c>
      <c r="U104" s="194">
        <v>0.46400000000000002</v>
      </c>
      <c r="V104" s="194">
        <v>28</v>
      </c>
      <c r="W104" s="194"/>
      <c r="X104" s="194"/>
      <c r="Y104" s="194"/>
      <c r="Z104" s="194"/>
      <c r="AA104" s="194"/>
      <c r="AB104" s="194"/>
      <c r="AC104" s="194"/>
      <c r="AD104" s="194"/>
      <c r="AE104" s="194"/>
      <c r="AF104" s="194"/>
      <c r="AG104" s="194"/>
      <c r="AH104" s="194"/>
      <c r="AI104" s="194"/>
      <c r="AJ104" s="194"/>
      <c r="AK104" s="194"/>
      <c r="AL104" s="140"/>
      <c r="AM104" s="140"/>
      <c r="AN104" s="140"/>
      <c r="AO104" s="140"/>
      <c r="AP104" s="140"/>
      <c r="AQ104" s="140"/>
      <c r="AR104" s="140"/>
      <c r="AS104" s="140"/>
      <c r="AT104" s="140"/>
      <c r="AU104" s="140"/>
      <c r="AV104" s="140"/>
      <c r="AW104" s="140"/>
      <c r="AX104" s="140"/>
      <c r="AY104" s="140"/>
      <c r="AZ104" s="140"/>
      <c r="BA104" s="140"/>
      <c r="BB104" s="140"/>
      <c r="BC104" s="140"/>
      <c r="BD104" s="140"/>
      <c r="BE104" s="140"/>
      <c r="BF104" s="140"/>
      <c r="BG104" s="140"/>
      <c r="BH104" s="140"/>
      <c r="BI104" s="140"/>
    </row>
    <row r="105" spans="1:61" x14ac:dyDescent="0.3">
      <c r="A105" s="193" t="s">
        <v>400</v>
      </c>
      <c r="B105" s="194">
        <v>0.46400000000000002</v>
      </c>
      <c r="C105" s="194">
        <v>0.5</v>
      </c>
      <c r="D105" s="194">
        <v>16</v>
      </c>
      <c r="E105" s="194">
        <v>0.34899999999999998</v>
      </c>
      <c r="F105" s="194">
        <v>0.41699999999999998</v>
      </c>
      <c r="G105" s="194">
        <v>12</v>
      </c>
      <c r="H105" s="194">
        <v>0.32400000000000001</v>
      </c>
      <c r="I105" s="194">
        <v>0.13300000000000001</v>
      </c>
      <c r="J105" s="194">
        <v>15</v>
      </c>
      <c r="K105" s="194">
        <v>0.29799999999999999</v>
      </c>
      <c r="L105" s="194">
        <v>0.5</v>
      </c>
      <c r="M105" s="194">
        <v>10</v>
      </c>
      <c r="N105" s="194">
        <v>0.40400000000000003</v>
      </c>
      <c r="O105" s="194">
        <v>0.318</v>
      </c>
      <c r="P105" s="194">
        <v>22</v>
      </c>
      <c r="Q105" s="194">
        <v>0.36399999999999999</v>
      </c>
      <c r="R105" s="194">
        <v>0.46700000000000003</v>
      </c>
      <c r="S105" s="194">
        <v>15</v>
      </c>
      <c r="T105" s="194">
        <v>0.40899999999999997</v>
      </c>
      <c r="U105" s="194">
        <v>0.28599999999999998</v>
      </c>
      <c r="V105" s="194">
        <v>7</v>
      </c>
      <c r="W105" s="194"/>
      <c r="X105" s="194"/>
      <c r="Y105" s="194"/>
      <c r="Z105" s="194"/>
      <c r="AA105" s="194"/>
      <c r="AB105" s="194"/>
      <c r="AC105" s="194"/>
      <c r="AD105" s="194"/>
      <c r="AE105" s="194"/>
      <c r="AF105" s="194"/>
      <c r="AG105" s="194"/>
      <c r="AH105" s="194"/>
      <c r="AI105" s="194"/>
      <c r="AJ105" s="194"/>
      <c r="AK105" s="194"/>
      <c r="AL105" s="140"/>
      <c r="AM105" s="140"/>
      <c r="AN105" s="140"/>
      <c r="AO105" s="140"/>
      <c r="AP105" s="140"/>
      <c r="AQ105" s="140"/>
      <c r="AR105" s="140"/>
      <c r="AS105" s="140"/>
      <c r="AT105" s="140"/>
      <c r="AU105" s="140"/>
      <c r="AV105" s="140"/>
      <c r="AW105" s="140"/>
      <c r="AX105" s="140"/>
      <c r="AY105" s="140"/>
      <c r="AZ105" s="140"/>
      <c r="BA105" s="140"/>
      <c r="BB105" s="140"/>
      <c r="BC105" s="140"/>
      <c r="BD105" s="140"/>
      <c r="BE105" s="140"/>
      <c r="BF105" s="140"/>
      <c r="BG105" s="140"/>
      <c r="BH105" s="140"/>
      <c r="BI105" s="140"/>
    </row>
    <row r="106" spans="1:61" x14ac:dyDescent="0.3">
      <c r="A106" s="193" t="s">
        <v>540</v>
      </c>
      <c r="B106" s="194">
        <v>0.4</v>
      </c>
      <c r="C106" s="194">
        <v>0.45</v>
      </c>
      <c r="D106" s="194">
        <v>20</v>
      </c>
      <c r="E106" s="194">
        <v>0.48899999999999999</v>
      </c>
      <c r="F106" s="194">
        <v>0.33300000000000002</v>
      </c>
      <c r="G106" s="194">
        <v>15</v>
      </c>
      <c r="H106" s="194">
        <v>0.54100000000000004</v>
      </c>
      <c r="I106" s="194">
        <v>0.8</v>
      </c>
      <c r="J106" s="194">
        <v>10</v>
      </c>
      <c r="K106" s="194">
        <v>0.58799999999999997</v>
      </c>
      <c r="L106" s="194">
        <v>0.58299999999999996</v>
      </c>
      <c r="M106" s="194">
        <v>12</v>
      </c>
      <c r="N106" s="194">
        <v>0.57099999999999995</v>
      </c>
      <c r="O106" s="194">
        <v>0.41699999999999998</v>
      </c>
      <c r="P106" s="194">
        <v>12</v>
      </c>
      <c r="Q106" s="194">
        <v>0.5</v>
      </c>
      <c r="R106" s="194">
        <v>0.72699999999999998</v>
      </c>
      <c r="S106" s="194">
        <v>11</v>
      </c>
      <c r="T106" s="194">
        <v>0.55000000000000004</v>
      </c>
      <c r="U106" s="194">
        <v>0.33300000000000002</v>
      </c>
      <c r="V106" s="194">
        <v>9</v>
      </c>
      <c r="W106" s="194"/>
      <c r="X106" s="194"/>
      <c r="Y106" s="194"/>
      <c r="Z106" s="194"/>
      <c r="AA106" s="194"/>
      <c r="AB106" s="194"/>
      <c r="AC106" s="194"/>
      <c r="AD106" s="194"/>
      <c r="AE106" s="194"/>
      <c r="AF106" s="194"/>
      <c r="AG106" s="194"/>
      <c r="AH106" s="194"/>
      <c r="AI106" s="194"/>
      <c r="AJ106" s="194"/>
      <c r="AK106" s="194"/>
      <c r="AL106" s="140"/>
      <c r="AM106" s="140"/>
      <c r="AN106" s="140"/>
      <c r="AO106" s="140"/>
      <c r="AP106" s="140"/>
      <c r="AQ106" s="140"/>
      <c r="AR106" s="140"/>
      <c r="AS106" s="140"/>
      <c r="AT106" s="140"/>
      <c r="AU106" s="140"/>
      <c r="AV106" s="140"/>
      <c r="AW106" s="140"/>
      <c r="AX106" s="140"/>
      <c r="AY106" s="140"/>
      <c r="AZ106" s="140"/>
      <c r="BA106" s="140"/>
      <c r="BB106" s="140"/>
      <c r="BC106" s="140"/>
      <c r="BD106" s="140"/>
      <c r="BE106" s="140"/>
      <c r="BF106" s="140"/>
      <c r="BG106" s="140"/>
      <c r="BH106" s="140"/>
      <c r="BI106" s="140"/>
    </row>
    <row r="107" spans="1:61" x14ac:dyDescent="0.3">
      <c r="A107" s="193" t="s">
        <v>337</v>
      </c>
      <c r="B107" s="194">
        <v>0.57899999999999996</v>
      </c>
      <c r="C107" s="194">
        <v>0.71399999999999997</v>
      </c>
      <c r="D107" s="194">
        <v>7</v>
      </c>
      <c r="E107" s="194">
        <v>0.63</v>
      </c>
      <c r="F107" s="194">
        <v>0.5</v>
      </c>
      <c r="G107" s="194">
        <v>12</v>
      </c>
      <c r="H107" s="194">
        <v>0.57699999999999996</v>
      </c>
      <c r="I107" s="194">
        <v>0.75</v>
      </c>
      <c r="J107" s="194">
        <v>8</v>
      </c>
      <c r="K107" s="194">
        <v>0.58299999999999996</v>
      </c>
      <c r="L107" s="194">
        <v>0.5</v>
      </c>
      <c r="M107" s="194">
        <v>6</v>
      </c>
      <c r="N107" s="194">
        <v>0.56299999999999994</v>
      </c>
      <c r="O107" s="194">
        <v>0.5</v>
      </c>
      <c r="P107" s="194">
        <v>10</v>
      </c>
      <c r="Q107" s="194">
        <v>0.47699999999999998</v>
      </c>
      <c r="R107" s="194">
        <v>0.625</v>
      </c>
      <c r="S107" s="194">
        <v>16</v>
      </c>
      <c r="T107" s="194">
        <v>0.47099999999999997</v>
      </c>
      <c r="U107" s="194">
        <v>0.33300000000000002</v>
      </c>
      <c r="V107" s="194">
        <v>18</v>
      </c>
      <c r="W107" s="194"/>
      <c r="X107" s="194"/>
      <c r="Y107" s="194"/>
      <c r="Z107" s="194"/>
      <c r="AA107" s="194"/>
      <c r="AB107" s="194"/>
      <c r="AC107" s="194"/>
      <c r="AD107" s="194"/>
      <c r="AE107" s="194"/>
      <c r="AF107" s="194"/>
      <c r="AG107" s="194"/>
      <c r="AH107" s="194"/>
      <c r="AI107" s="194"/>
      <c r="AJ107" s="194"/>
      <c r="AK107" s="194"/>
      <c r="AL107" s="140"/>
      <c r="AM107" s="140"/>
      <c r="AN107" s="140"/>
      <c r="AO107" s="140"/>
      <c r="AP107" s="140"/>
      <c r="AQ107" s="140"/>
      <c r="AR107" s="140"/>
      <c r="AS107" s="140"/>
      <c r="AT107" s="140"/>
      <c r="AU107" s="140"/>
      <c r="AV107" s="140"/>
      <c r="AW107" s="140"/>
      <c r="AX107" s="140"/>
      <c r="AY107" s="140"/>
      <c r="AZ107" s="140"/>
      <c r="BA107" s="140"/>
      <c r="BB107" s="140"/>
      <c r="BC107" s="140"/>
      <c r="BD107" s="140"/>
      <c r="BE107" s="140"/>
      <c r="BF107" s="140"/>
      <c r="BG107" s="140"/>
      <c r="BH107" s="140"/>
      <c r="BI107" s="140"/>
    </row>
    <row r="108" spans="1:61" x14ac:dyDescent="0.3">
      <c r="A108" s="193" t="s">
        <v>482</v>
      </c>
      <c r="B108" s="194">
        <v>0.63200000000000001</v>
      </c>
      <c r="C108" s="194">
        <v>0.66700000000000004</v>
      </c>
      <c r="D108" s="194">
        <v>33</v>
      </c>
      <c r="E108" s="194">
        <v>0.64800000000000002</v>
      </c>
      <c r="F108" s="194">
        <v>0.58299999999999996</v>
      </c>
      <c r="G108" s="194">
        <v>24</v>
      </c>
      <c r="H108" s="194">
        <v>0.55100000000000005</v>
      </c>
      <c r="I108" s="194">
        <v>0.67700000000000005</v>
      </c>
      <c r="J108" s="194">
        <v>31</v>
      </c>
      <c r="K108" s="194">
        <v>0.55600000000000005</v>
      </c>
      <c r="L108" s="194">
        <v>0.34799999999999998</v>
      </c>
      <c r="M108" s="194">
        <v>23</v>
      </c>
      <c r="N108" s="194">
        <v>0.48699999999999999</v>
      </c>
      <c r="O108" s="194">
        <v>0.59299999999999997</v>
      </c>
      <c r="P108" s="194">
        <v>27</v>
      </c>
      <c r="Q108" s="194">
        <v>0.59599999999999997</v>
      </c>
      <c r="R108" s="194">
        <v>0.5</v>
      </c>
      <c r="S108" s="194">
        <v>28</v>
      </c>
      <c r="T108" s="194">
        <v>0.59699999999999998</v>
      </c>
      <c r="U108" s="194">
        <v>0.67600000000000005</v>
      </c>
      <c r="V108" s="194">
        <v>34</v>
      </c>
      <c r="W108" s="194"/>
      <c r="X108" s="194"/>
      <c r="Y108" s="194"/>
      <c r="Z108" s="194"/>
      <c r="AA108" s="194"/>
      <c r="AB108" s="194"/>
      <c r="AC108" s="194"/>
      <c r="AD108" s="194"/>
      <c r="AE108" s="194"/>
      <c r="AF108" s="194"/>
      <c r="AG108" s="194"/>
      <c r="AH108" s="194"/>
      <c r="AI108" s="194"/>
      <c r="AJ108" s="194"/>
      <c r="AK108" s="194"/>
      <c r="AL108" s="140"/>
      <c r="AM108" s="140"/>
      <c r="AN108" s="140"/>
      <c r="AO108" s="140"/>
      <c r="AP108" s="140"/>
      <c r="AQ108" s="140"/>
      <c r="AR108" s="140"/>
      <c r="AS108" s="140"/>
      <c r="AT108" s="140"/>
      <c r="AU108" s="140"/>
      <c r="AV108" s="140"/>
      <c r="AW108" s="140"/>
      <c r="AX108" s="140"/>
      <c r="AY108" s="140"/>
      <c r="AZ108" s="140"/>
      <c r="BA108" s="140"/>
      <c r="BB108" s="140"/>
      <c r="BC108" s="140"/>
      <c r="BD108" s="140"/>
      <c r="BE108" s="140"/>
      <c r="BF108" s="140"/>
      <c r="BG108" s="140"/>
      <c r="BH108" s="140"/>
      <c r="BI108" s="140"/>
    </row>
    <row r="109" spans="1:61" x14ac:dyDescent="0.3">
      <c r="A109" s="193" t="s">
        <v>546</v>
      </c>
      <c r="B109" s="194">
        <v>0.55800000000000005</v>
      </c>
      <c r="C109" s="194">
        <v>0.56299999999999994</v>
      </c>
      <c r="D109" s="194">
        <v>16</v>
      </c>
      <c r="E109" s="194">
        <v>0.51400000000000001</v>
      </c>
      <c r="F109" s="194">
        <v>0.55600000000000005</v>
      </c>
      <c r="G109" s="194">
        <v>27</v>
      </c>
      <c r="H109" s="194">
        <v>0.48799999999999999</v>
      </c>
      <c r="I109" s="194">
        <v>0.44800000000000001</v>
      </c>
      <c r="J109" s="194">
        <v>29</v>
      </c>
      <c r="K109" s="194">
        <v>0.39</v>
      </c>
      <c r="L109" s="194">
        <v>0.46200000000000002</v>
      </c>
      <c r="M109" s="194">
        <v>26</v>
      </c>
      <c r="N109" s="194">
        <v>0.36</v>
      </c>
      <c r="O109" s="194">
        <v>0.25900000000000001</v>
      </c>
      <c r="P109" s="194">
        <v>27</v>
      </c>
      <c r="Q109" s="194">
        <v>0.32100000000000001</v>
      </c>
      <c r="R109" s="194">
        <v>0.36399999999999999</v>
      </c>
      <c r="S109" s="194">
        <v>22</v>
      </c>
      <c r="T109" s="194">
        <v>0.379</v>
      </c>
      <c r="U109" s="194">
        <v>0.42899999999999999</v>
      </c>
      <c r="V109" s="194">
        <v>7</v>
      </c>
      <c r="W109" s="194"/>
      <c r="X109" s="194"/>
      <c r="Y109" s="194"/>
      <c r="Z109" s="194"/>
      <c r="AA109" s="194"/>
      <c r="AB109" s="194"/>
      <c r="AC109" s="194"/>
      <c r="AD109" s="194"/>
      <c r="AE109" s="194"/>
      <c r="AF109" s="194"/>
      <c r="AG109" s="194"/>
      <c r="AH109" s="194"/>
      <c r="AI109" s="194"/>
      <c r="AJ109" s="194"/>
      <c r="AK109" s="194"/>
      <c r="AL109" s="140"/>
      <c r="AM109" s="140"/>
      <c r="AN109" s="140"/>
      <c r="AO109" s="140"/>
      <c r="AP109" s="140"/>
      <c r="AQ109" s="140"/>
      <c r="AR109" s="140"/>
      <c r="AS109" s="140"/>
      <c r="AT109" s="140"/>
      <c r="AU109" s="140"/>
      <c r="AV109" s="140"/>
      <c r="AW109" s="140"/>
      <c r="AX109" s="140"/>
      <c r="AY109" s="140"/>
      <c r="AZ109" s="140"/>
      <c r="BA109" s="140"/>
      <c r="BB109" s="140"/>
      <c r="BC109" s="140"/>
      <c r="BD109" s="140"/>
      <c r="BE109" s="140"/>
      <c r="BF109" s="140"/>
      <c r="BG109" s="140"/>
      <c r="BH109" s="140"/>
      <c r="BI109" s="140"/>
    </row>
    <row r="110" spans="1:61" x14ac:dyDescent="0.3">
      <c r="A110" s="193" t="s">
        <v>538</v>
      </c>
      <c r="B110" s="194">
        <v>0.35699999999999998</v>
      </c>
      <c r="C110" s="194">
        <v>0.41699999999999998</v>
      </c>
      <c r="D110" s="194">
        <v>12</v>
      </c>
      <c r="E110" s="194">
        <v>0.35099999999999998</v>
      </c>
      <c r="F110" s="194">
        <v>0.313</v>
      </c>
      <c r="G110" s="194">
        <v>16</v>
      </c>
      <c r="H110" s="194">
        <v>0.41199999999999998</v>
      </c>
      <c r="I110" s="194">
        <v>0.33300000000000002</v>
      </c>
      <c r="J110" s="194">
        <v>9</v>
      </c>
      <c r="K110" s="194">
        <v>0.5</v>
      </c>
      <c r="L110" s="194">
        <v>0.66700000000000004</v>
      </c>
      <c r="M110" s="194">
        <v>9</v>
      </c>
      <c r="N110" s="194">
        <v>0.64300000000000002</v>
      </c>
      <c r="O110" s="194">
        <v>0.5</v>
      </c>
      <c r="P110" s="194">
        <v>4</v>
      </c>
      <c r="Q110" s="194">
        <v>0.71399999999999997</v>
      </c>
      <c r="R110" s="194">
        <v>1</v>
      </c>
      <c r="S110" s="194">
        <v>1</v>
      </c>
      <c r="T110" s="194">
        <v>1</v>
      </c>
      <c r="U110" s="194">
        <v>1</v>
      </c>
      <c r="V110" s="194">
        <v>2</v>
      </c>
      <c r="W110" s="194"/>
      <c r="X110" s="194"/>
      <c r="Y110" s="194"/>
      <c r="Z110" s="194"/>
      <c r="AA110" s="194"/>
      <c r="AB110" s="194"/>
      <c r="AC110" s="194"/>
      <c r="AD110" s="194"/>
      <c r="AE110" s="194"/>
      <c r="AF110" s="194"/>
      <c r="AG110" s="194"/>
      <c r="AH110" s="194"/>
      <c r="AI110" s="194"/>
      <c r="AJ110" s="194"/>
      <c r="AK110" s="194"/>
      <c r="AL110" s="140"/>
      <c r="AM110" s="140"/>
      <c r="AN110" s="140"/>
      <c r="AO110" s="140"/>
      <c r="AP110" s="140"/>
      <c r="AQ110" s="140"/>
      <c r="AR110" s="140"/>
      <c r="AS110" s="140"/>
      <c r="AT110" s="140"/>
      <c r="AU110" s="140"/>
      <c r="AV110" s="140"/>
      <c r="AW110" s="140"/>
      <c r="AX110" s="140"/>
      <c r="AY110" s="140"/>
      <c r="AZ110" s="140"/>
      <c r="BA110" s="140"/>
      <c r="BB110" s="140"/>
      <c r="BC110" s="140"/>
      <c r="BD110" s="140"/>
      <c r="BE110" s="140"/>
      <c r="BF110" s="140"/>
      <c r="BG110" s="140"/>
      <c r="BH110" s="140"/>
      <c r="BI110" s="140"/>
    </row>
    <row r="111" spans="1:61" x14ac:dyDescent="0.3">
      <c r="A111" s="193" t="s">
        <v>303</v>
      </c>
      <c r="B111" s="194">
        <v>0.48599999999999999</v>
      </c>
      <c r="C111" s="194">
        <v>0.35299999999999998</v>
      </c>
      <c r="D111" s="194">
        <v>17</v>
      </c>
      <c r="E111" s="194">
        <v>0.46300000000000002</v>
      </c>
      <c r="F111" s="194">
        <v>0.6</v>
      </c>
      <c r="G111" s="194">
        <v>20</v>
      </c>
      <c r="H111" s="194">
        <v>0.47499999999999998</v>
      </c>
      <c r="I111" s="194">
        <v>0.41199999999999998</v>
      </c>
      <c r="J111" s="194">
        <v>17</v>
      </c>
      <c r="K111" s="194">
        <v>0.45900000000000002</v>
      </c>
      <c r="L111" s="194">
        <v>0.41699999999999998</v>
      </c>
      <c r="M111" s="194">
        <v>24</v>
      </c>
      <c r="N111" s="194">
        <v>0.50900000000000001</v>
      </c>
      <c r="O111" s="194">
        <v>0.55000000000000004</v>
      </c>
      <c r="P111" s="194">
        <v>20</v>
      </c>
      <c r="Q111" s="194">
        <v>0.5</v>
      </c>
      <c r="R111" s="194">
        <v>0.61499999999999999</v>
      </c>
      <c r="S111" s="194">
        <v>13</v>
      </c>
      <c r="T111" s="194">
        <v>0.45</v>
      </c>
      <c r="U111" s="194">
        <v>0.14299999999999999</v>
      </c>
      <c r="V111" s="194">
        <v>7</v>
      </c>
      <c r="W111" s="194"/>
      <c r="X111" s="194"/>
      <c r="Y111" s="194"/>
      <c r="Z111" s="194"/>
      <c r="AA111" s="194"/>
      <c r="AB111" s="194"/>
      <c r="AC111" s="194"/>
      <c r="AD111" s="194"/>
      <c r="AE111" s="194"/>
      <c r="AF111" s="194"/>
      <c r="AG111" s="194"/>
      <c r="AH111" s="194"/>
      <c r="AI111" s="194"/>
      <c r="AJ111" s="194"/>
      <c r="AK111" s="194"/>
      <c r="AL111" s="140"/>
      <c r="AM111" s="140"/>
      <c r="AN111" s="140"/>
      <c r="AO111" s="140"/>
      <c r="AP111" s="140"/>
      <c r="AQ111" s="140"/>
      <c r="AR111" s="140"/>
      <c r="AS111" s="140"/>
      <c r="AT111" s="140"/>
      <c r="AU111" s="140"/>
      <c r="AV111" s="140"/>
      <c r="AW111" s="140"/>
      <c r="AX111" s="140"/>
      <c r="AY111" s="140"/>
      <c r="AZ111" s="140"/>
      <c r="BA111" s="140"/>
      <c r="BB111" s="140"/>
      <c r="BC111" s="140"/>
      <c r="BD111" s="140"/>
      <c r="BE111" s="140"/>
      <c r="BF111" s="140"/>
      <c r="BG111" s="140"/>
      <c r="BH111" s="140"/>
      <c r="BI111" s="140"/>
    </row>
    <row r="112" spans="1:61" x14ac:dyDescent="0.3">
      <c r="A112" s="193" t="s">
        <v>433</v>
      </c>
      <c r="B112" s="194">
        <v>0.28599999999999998</v>
      </c>
      <c r="C112" s="194">
        <v>0.42899999999999999</v>
      </c>
      <c r="D112" s="194">
        <v>28</v>
      </c>
      <c r="E112" s="194">
        <v>0.20499999999999999</v>
      </c>
      <c r="F112" s="194">
        <v>9.5000000000000001E-2</v>
      </c>
      <c r="G112" s="194">
        <v>21</v>
      </c>
      <c r="H112" s="194">
        <v>0.23200000000000001</v>
      </c>
      <c r="I112" s="194">
        <v>6.9000000000000006E-2</v>
      </c>
      <c r="J112" s="194">
        <v>29</v>
      </c>
      <c r="K112" s="194">
        <v>0.32500000000000001</v>
      </c>
      <c r="L112" s="194">
        <v>0.46899999999999997</v>
      </c>
      <c r="M112" s="194">
        <v>32</v>
      </c>
      <c r="N112" s="194">
        <v>0.50700000000000001</v>
      </c>
      <c r="O112" s="194">
        <v>0.5</v>
      </c>
      <c r="P112" s="194">
        <v>16</v>
      </c>
      <c r="Q112" s="194">
        <v>0.56399999999999995</v>
      </c>
      <c r="R112" s="194">
        <v>0.56499999999999995</v>
      </c>
      <c r="S112" s="194">
        <v>23</v>
      </c>
      <c r="T112" s="194">
        <v>0.59</v>
      </c>
      <c r="U112" s="194">
        <v>0.625</v>
      </c>
      <c r="V112" s="194">
        <v>16</v>
      </c>
      <c r="W112" s="194"/>
      <c r="X112" s="194"/>
      <c r="Y112" s="194"/>
      <c r="Z112" s="194"/>
      <c r="AA112" s="194"/>
      <c r="AB112" s="194"/>
      <c r="AC112" s="194"/>
      <c r="AD112" s="194"/>
      <c r="AE112" s="194"/>
      <c r="AF112" s="194"/>
      <c r="AG112" s="194"/>
      <c r="AH112" s="194"/>
      <c r="AI112" s="194"/>
      <c r="AJ112" s="194"/>
      <c r="AK112" s="194"/>
      <c r="AL112" s="140"/>
      <c r="AM112" s="140"/>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c r="BI112" s="140"/>
    </row>
    <row r="113" spans="1:61" x14ac:dyDescent="0.3">
      <c r="A113" s="193" t="s">
        <v>348</v>
      </c>
      <c r="B113" s="194">
        <v>0.5</v>
      </c>
      <c r="C113" s="194">
        <v>0.5</v>
      </c>
      <c r="D113" s="194">
        <v>12</v>
      </c>
      <c r="E113" s="194">
        <v>0.56399999999999995</v>
      </c>
      <c r="F113" s="194">
        <v>0.5</v>
      </c>
      <c r="G113" s="194">
        <v>20</v>
      </c>
      <c r="H113" s="194">
        <v>0.625</v>
      </c>
      <c r="I113" s="194">
        <v>0.65200000000000002</v>
      </c>
      <c r="J113" s="194">
        <v>23</v>
      </c>
      <c r="K113" s="194">
        <v>0.68300000000000005</v>
      </c>
      <c r="L113" s="194">
        <v>0.71399999999999997</v>
      </c>
      <c r="M113" s="194">
        <v>21</v>
      </c>
      <c r="N113" s="194">
        <v>0.68799999999999994</v>
      </c>
      <c r="O113" s="194">
        <v>0.68799999999999994</v>
      </c>
      <c r="P113" s="194">
        <v>16</v>
      </c>
      <c r="Q113" s="194">
        <v>0.57499999999999996</v>
      </c>
      <c r="R113" s="194">
        <v>0.63600000000000001</v>
      </c>
      <c r="S113" s="194">
        <v>11</v>
      </c>
      <c r="T113" s="194">
        <v>0.5</v>
      </c>
      <c r="U113" s="194">
        <v>0.38500000000000001</v>
      </c>
      <c r="V113" s="194">
        <v>13</v>
      </c>
      <c r="W113" s="194"/>
      <c r="X113" s="194"/>
      <c r="Y113" s="194"/>
      <c r="Z113" s="194"/>
      <c r="AA113" s="194"/>
      <c r="AB113" s="194"/>
      <c r="AC113" s="194"/>
      <c r="AD113" s="194"/>
      <c r="AE113" s="194"/>
      <c r="AF113" s="194"/>
      <c r="AG113" s="194"/>
      <c r="AH113" s="194"/>
      <c r="AI113" s="194"/>
      <c r="AJ113" s="194"/>
      <c r="AK113" s="194"/>
      <c r="AL113" s="140"/>
      <c r="AM113" s="140"/>
      <c r="AN113" s="140"/>
      <c r="AO113" s="140"/>
      <c r="AP113" s="140"/>
      <c r="AQ113" s="140"/>
      <c r="AR113" s="140"/>
      <c r="AS113" s="140"/>
      <c r="AT113" s="140"/>
      <c r="AU113" s="140"/>
      <c r="AV113" s="140"/>
      <c r="AW113" s="140"/>
      <c r="AX113" s="140"/>
      <c r="AY113" s="140"/>
      <c r="AZ113" s="140"/>
      <c r="BA113" s="140"/>
      <c r="BB113" s="140"/>
      <c r="BC113" s="140"/>
      <c r="BD113" s="140"/>
      <c r="BE113" s="140"/>
      <c r="BF113" s="140"/>
      <c r="BG113" s="140"/>
      <c r="BH113" s="140"/>
      <c r="BI113" s="140"/>
    </row>
    <row r="114" spans="1:61" x14ac:dyDescent="0.3">
      <c r="A114" s="193" t="s">
        <v>410</v>
      </c>
      <c r="B114" s="194">
        <v>0.51800000000000002</v>
      </c>
      <c r="C114" s="194">
        <v>0.53600000000000003</v>
      </c>
      <c r="D114" s="194">
        <v>28</v>
      </c>
      <c r="E114" s="194">
        <v>0.48799999999999999</v>
      </c>
      <c r="F114" s="194">
        <v>0.5</v>
      </c>
      <c r="G114" s="194">
        <v>28</v>
      </c>
      <c r="H114" s="194">
        <v>0.47499999999999998</v>
      </c>
      <c r="I114" s="194">
        <v>0.433</v>
      </c>
      <c r="J114" s="194">
        <v>30</v>
      </c>
      <c r="K114" s="194">
        <v>0.46899999999999997</v>
      </c>
      <c r="L114" s="194">
        <v>0.5</v>
      </c>
      <c r="M114" s="194">
        <v>22</v>
      </c>
      <c r="N114" s="194">
        <v>0.48099999999999998</v>
      </c>
      <c r="O114" s="194">
        <v>0.48299999999999998</v>
      </c>
      <c r="P114" s="194">
        <v>29</v>
      </c>
      <c r="Q114" s="194">
        <v>0.48899999999999999</v>
      </c>
      <c r="R114" s="194">
        <v>0.46700000000000003</v>
      </c>
      <c r="S114" s="194">
        <v>30</v>
      </c>
      <c r="T114" s="194">
        <v>0.49199999999999999</v>
      </c>
      <c r="U114" s="194">
        <v>0.51500000000000001</v>
      </c>
      <c r="V114" s="194">
        <v>33</v>
      </c>
      <c r="W114" s="194"/>
      <c r="X114" s="194"/>
      <c r="Y114" s="194"/>
      <c r="Z114" s="194"/>
      <c r="AA114" s="194"/>
      <c r="AB114" s="194"/>
      <c r="AC114" s="194"/>
      <c r="AD114" s="194"/>
      <c r="AE114" s="194"/>
      <c r="AF114" s="194"/>
      <c r="AG114" s="194"/>
      <c r="AH114" s="194"/>
      <c r="AI114" s="194"/>
      <c r="AJ114" s="194"/>
      <c r="AK114" s="194"/>
      <c r="AL114" s="140"/>
      <c r="AM114" s="140"/>
      <c r="AN114" s="140"/>
      <c r="AO114" s="140"/>
      <c r="AP114" s="140"/>
      <c r="AQ114" s="140"/>
      <c r="AR114" s="140"/>
      <c r="AS114" s="140"/>
      <c r="AT114" s="140"/>
      <c r="AU114" s="140"/>
      <c r="AV114" s="140"/>
      <c r="AW114" s="140"/>
      <c r="AX114" s="140"/>
      <c r="AY114" s="140"/>
      <c r="AZ114" s="140"/>
      <c r="BA114" s="140"/>
      <c r="BB114" s="140"/>
      <c r="BC114" s="140"/>
      <c r="BD114" s="140"/>
      <c r="BE114" s="140"/>
      <c r="BF114" s="140"/>
      <c r="BG114" s="140"/>
      <c r="BH114" s="140"/>
      <c r="BI114" s="140"/>
    </row>
    <row r="115" spans="1:61" x14ac:dyDescent="0.3">
      <c r="A115" s="193" t="s">
        <v>460</v>
      </c>
      <c r="B115" s="194">
        <v>0.44900000000000001</v>
      </c>
      <c r="C115" s="194">
        <v>0.38900000000000001</v>
      </c>
      <c r="D115" s="194">
        <v>18</v>
      </c>
      <c r="E115" s="194">
        <v>0.33800000000000002</v>
      </c>
      <c r="F115" s="194">
        <v>0.48399999999999999</v>
      </c>
      <c r="G115" s="194">
        <v>31</v>
      </c>
      <c r="H115" s="194">
        <v>0.29799999999999999</v>
      </c>
      <c r="I115" s="194">
        <v>0.14299999999999999</v>
      </c>
      <c r="J115" s="194">
        <v>28</v>
      </c>
      <c r="K115" s="194">
        <v>0.19700000000000001</v>
      </c>
      <c r="L115" s="194">
        <v>0.24</v>
      </c>
      <c r="M115" s="194">
        <v>25</v>
      </c>
      <c r="N115" s="194">
        <v>0.222</v>
      </c>
      <c r="O115" s="194">
        <v>0.217</v>
      </c>
      <c r="P115" s="194">
        <v>23</v>
      </c>
      <c r="Q115" s="194">
        <v>0.26500000000000001</v>
      </c>
      <c r="R115" s="194">
        <v>0.21199999999999999</v>
      </c>
      <c r="S115" s="194">
        <v>33</v>
      </c>
      <c r="T115" s="194">
        <v>0.28899999999999998</v>
      </c>
      <c r="U115" s="194">
        <v>0.5</v>
      </c>
      <c r="V115" s="194">
        <v>12</v>
      </c>
      <c r="W115" s="194"/>
      <c r="X115" s="194"/>
      <c r="Y115" s="194"/>
      <c r="Z115" s="194"/>
      <c r="AA115" s="194"/>
      <c r="AB115" s="194"/>
      <c r="AC115" s="194"/>
      <c r="AD115" s="194"/>
      <c r="AE115" s="194"/>
      <c r="AF115" s="194"/>
      <c r="AG115" s="194"/>
      <c r="AH115" s="194"/>
      <c r="AI115" s="194"/>
      <c r="AJ115" s="194"/>
      <c r="AK115" s="194"/>
      <c r="AL115" s="140"/>
      <c r="AM115" s="140"/>
      <c r="AN115" s="140"/>
      <c r="AO115" s="140"/>
      <c r="AP115" s="140"/>
      <c r="AQ115" s="140"/>
      <c r="AR115" s="140"/>
      <c r="AS115" s="140"/>
      <c r="AT115" s="140"/>
      <c r="AU115" s="140"/>
      <c r="AV115" s="140"/>
      <c r="AW115" s="140"/>
      <c r="AX115" s="140"/>
      <c r="AY115" s="140"/>
      <c r="AZ115" s="140"/>
      <c r="BA115" s="140"/>
      <c r="BB115" s="140"/>
      <c r="BC115" s="140"/>
      <c r="BD115" s="140"/>
      <c r="BE115" s="140"/>
      <c r="BF115" s="140"/>
      <c r="BG115" s="140"/>
      <c r="BH115" s="140"/>
      <c r="BI115" s="140"/>
    </row>
    <row r="116" spans="1:61" x14ac:dyDescent="0.3">
      <c r="A116" s="193" t="s">
        <v>288</v>
      </c>
      <c r="B116" s="194">
        <v>0.45700000000000002</v>
      </c>
      <c r="C116" s="194">
        <v>0.33300000000000002</v>
      </c>
      <c r="D116" s="194">
        <v>18</v>
      </c>
      <c r="E116" s="194">
        <v>0.379</v>
      </c>
      <c r="F116" s="194">
        <v>0.58799999999999997</v>
      </c>
      <c r="G116" s="194">
        <v>17</v>
      </c>
      <c r="H116" s="194">
        <v>0.36199999999999999</v>
      </c>
      <c r="I116" s="194">
        <v>0.26100000000000001</v>
      </c>
      <c r="J116" s="194">
        <v>23</v>
      </c>
      <c r="K116" s="194">
        <v>0.28599999999999998</v>
      </c>
      <c r="L116" s="194">
        <v>0.27800000000000002</v>
      </c>
      <c r="M116" s="194">
        <v>18</v>
      </c>
      <c r="N116" s="194">
        <v>0.313</v>
      </c>
      <c r="O116" s="194">
        <v>0.33300000000000002</v>
      </c>
      <c r="P116" s="194">
        <v>15</v>
      </c>
      <c r="Q116" s="194">
        <v>0.33300000000000002</v>
      </c>
      <c r="R116" s="194">
        <v>0.33300000000000002</v>
      </c>
      <c r="S116" s="194">
        <v>15</v>
      </c>
      <c r="T116" s="194">
        <v>0.33300000000000002</v>
      </c>
      <c r="U116" s="194">
        <v>0.33300000000000002</v>
      </c>
      <c r="V116" s="194">
        <v>12</v>
      </c>
      <c r="W116" s="194"/>
      <c r="X116" s="194"/>
      <c r="Y116" s="194"/>
      <c r="Z116" s="194"/>
      <c r="AA116" s="194"/>
      <c r="AB116" s="194"/>
      <c r="AC116" s="194"/>
      <c r="AD116" s="194"/>
      <c r="AE116" s="194"/>
      <c r="AF116" s="194"/>
      <c r="AG116" s="194"/>
      <c r="AH116" s="194"/>
      <c r="AI116" s="194"/>
      <c r="AJ116" s="194"/>
      <c r="AK116" s="194"/>
      <c r="AL116" s="140"/>
      <c r="AM116" s="140"/>
      <c r="AN116" s="140"/>
      <c r="AO116" s="140"/>
      <c r="AP116" s="140"/>
      <c r="AQ116" s="140"/>
      <c r="AR116" s="140"/>
      <c r="AS116" s="140"/>
      <c r="AT116" s="140"/>
      <c r="AU116" s="140"/>
      <c r="AV116" s="140"/>
      <c r="AW116" s="140"/>
      <c r="AX116" s="140"/>
      <c r="AY116" s="140"/>
      <c r="AZ116" s="140"/>
      <c r="BA116" s="140"/>
      <c r="BB116" s="140"/>
      <c r="BC116" s="140"/>
      <c r="BD116" s="140"/>
      <c r="BE116" s="140"/>
      <c r="BF116" s="140"/>
      <c r="BG116" s="140"/>
      <c r="BH116" s="140"/>
      <c r="BI116" s="140"/>
    </row>
    <row r="117" spans="1:61" x14ac:dyDescent="0.3">
      <c r="A117" s="193" t="s">
        <v>388</v>
      </c>
      <c r="B117" s="194">
        <v>0.51900000000000002</v>
      </c>
      <c r="C117" s="194">
        <v>0.61499999999999999</v>
      </c>
      <c r="D117" s="194">
        <v>13</v>
      </c>
      <c r="E117" s="194">
        <v>0.51300000000000001</v>
      </c>
      <c r="F117" s="194">
        <v>0.42899999999999999</v>
      </c>
      <c r="G117" s="194">
        <v>14</v>
      </c>
      <c r="H117" s="194">
        <v>0.39500000000000002</v>
      </c>
      <c r="I117" s="194">
        <v>0.5</v>
      </c>
      <c r="J117" s="194">
        <v>12</v>
      </c>
      <c r="K117" s="194">
        <v>0.379</v>
      </c>
      <c r="L117" s="194">
        <v>0.25</v>
      </c>
      <c r="M117" s="194">
        <v>12</v>
      </c>
      <c r="N117" s="194">
        <v>0.33300000000000002</v>
      </c>
      <c r="O117" s="194">
        <v>0.4</v>
      </c>
      <c r="P117" s="194">
        <v>5</v>
      </c>
      <c r="Q117" s="194">
        <v>0.4</v>
      </c>
      <c r="R117" s="194">
        <v>0.42899999999999999</v>
      </c>
      <c r="S117" s="194">
        <v>7</v>
      </c>
      <c r="T117" s="194">
        <v>0.4</v>
      </c>
      <c r="U117" s="194">
        <v>0.375</v>
      </c>
      <c r="V117" s="194">
        <v>8</v>
      </c>
      <c r="W117" s="194"/>
      <c r="X117" s="194"/>
      <c r="Y117" s="194"/>
      <c r="Z117" s="194"/>
      <c r="AA117" s="194"/>
      <c r="AB117" s="194"/>
      <c r="AC117" s="194"/>
      <c r="AD117" s="194"/>
      <c r="AE117" s="194"/>
      <c r="AF117" s="194"/>
      <c r="AG117" s="194"/>
      <c r="AH117" s="194"/>
      <c r="AI117" s="194"/>
      <c r="AJ117" s="194"/>
      <c r="AK117" s="194"/>
      <c r="AL117" s="140"/>
      <c r="AM117" s="140"/>
      <c r="AN117" s="140"/>
      <c r="AO117" s="140"/>
      <c r="AP117" s="140"/>
      <c r="AQ117" s="140"/>
      <c r="AR117" s="140"/>
      <c r="AS117" s="140"/>
      <c r="AT117" s="140"/>
      <c r="AU117" s="140"/>
      <c r="AV117" s="140"/>
      <c r="AW117" s="140"/>
      <c r="AX117" s="140"/>
      <c r="AY117" s="140"/>
      <c r="AZ117" s="140"/>
      <c r="BA117" s="140"/>
      <c r="BB117" s="140"/>
      <c r="BC117" s="140"/>
      <c r="BD117" s="140"/>
      <c r="BE117" s="140"/>
      <c r="BF117" s="140"/>
      <c r="BG117" s="140"/>
      <c r="BH117" s="140"/>
      <c r="BI117" s="140"/>
    </row>
    <row r="118" spans="1:61" x14ac:dyDescent="0.3">
      <c r="A118" s="193" t="s">
        <v>322</v>
      </c>
      <c r="B118" s="194">
        <v>0.36399999999999999</v>
      </c>
      <c r="C118" s="194">
        <v>0</v>
      </c>
      <c r="D118" s="194">
        <v>3</v>
      </c>
      <c r="E118" s="194">
        <v>0.35699999999999998</v>
      </c>
      <c r="F118" s="194">
        <v>0.5</v>
      </c>
      <c r="G118" s="194">
        <v>8</v>
      </c>
      <c r="H118" s="194">
        <v>0.42099999999999999</v>
      </c>
      <c r="I118" s="194">
        <v>0.33300000000000002</v>
      </c>
      <c r="J118" s="194">
        <v>3</v>
      </c>
      <c r="K118" s="194">
        <v>0.26700000000000002</v>
      </c>
      <c r="L118" s="194">
        <v>0.375</v>
      </c>
      <c r="M118" s="194">
        <v>8</v>
      </c>
      <c r="N118" s="194">
        <v>0.222</v>
      </c>
      <c r="O118" s="194">
        <v>0</v>
      </c>
      <c r="P118" s="194">
        <v>4</v>
      </c>
      <c r="Q118" s="194">
        <v>0.154</v>
      </c>
      <c r="R118" s="194">
        <v>0.16700000000000001</v>
      </c>
      <c r="S118" s="194">
        <v>6</v>
      </c>
      <c r="T118" s="194">
        <v>0.222</v>
      </c>
      <c r="U118" s="194">
        <v>0.33300000000000002</v>
      </c>
      <c r="V118" s="194">
        <v>3</v>
      </c>
      <c r="W118" s="194"/>
      <c r="X118" s="194"/>
      <c r="Y118" s="194"/>
      <c r="Z118" s="194"/>
      <c r="AA118" s="194"/>
      <c r="AB118" s="194"/>
      <c r="AC118" s="194"/>
      <c r="AD118" s="194"/>
      <c r="AE118" s="194"/>
      <c r="AF118" s="194"/>
      <c r="AG118" s="194"/>
      <c r="AH118" s="194"/>
      <c r="AI118" s="194"/>
      <c r="AJ118" s="194"/>
      <c r="AK118" s="194"/>
      <c r="AL118" s="140"/>
      <c r="AM118" s="140"/>
      <c r="AN118" s="140"/>
      <c r="AO118" s="140"/>
      <c r="AP118" s="140"/>
      <c r="AQ118" s="140"/>
      <c r="AR118" s="140"/>
      <c r="AS118" s="140"/>
      <c r="AT118" s="140"/>
      <c r="AU118" s="140"/>
      <c r="AV118" s="140"/>
      <c r="AW118" s="140"/>
      <c r="AX118" s="140"/>
      <c r="AY118" s="140"/>
      <c r="AZ118" s="140"/>
      <c r="BA118" s="140"/>
      <c r="BB118" s="140"/>
      <c r="BC118" s="140"/>
      <c r="BD118" s="140"/>
      <c r="BE118" s="140"/>
      <c r="BF118" s="140"/>
      <c r="BG118" s="140"/>
      <c r="BH118" s="140"/>
      <c r="BI118" s="140"/>
    </row>
    <row r="119" spans="1:61" x14ac:dyDescent="0.3">
      <c r="A119" s="193" t="s">
        <v>299</v>
      </c>
      <c r="B119" s="194">
        <v>0.45200000000000001</v>
      </c>
      <c r="C119" s="194">
        <v>0.45</v>
      </c>
      <c r="D119" s="194">
        <v>20</v>
      </c>
      <c r="E119" s="194">
        <v>0.54200000000000004</v>
      </c>
      <c r="F119" s="194">
        <v>0.45500000000000002</v>
      </c>
      <c r="G119" s="194">
        <v>11</v>
      </c>
      <c r="H119" s="194">
        <v>0.59499999999999997</v>
      </c>
      <c r="I119" s="194">
        <v>0.70599999999999996</v>
      </c>
      <c r="J119" s="194">
        <v>17</v>
      </c>
      <c r="K119" s="194">
        <v>0.60599999999999998</v>
      </c>
      <c r="L119" s="194">
        <v>0.55600000000000005</v>
      </c>
      <c r="M119" s="194">
        <v>9</v>
      </c>
      <c r="N119" s="194">
        <v>0.39300000000000002</v>
      </c>
      <c r="O119" s="194">
        <v>0.42899999999999999</v>
      </c>
      <c r="P119" s="194">
        <v>7</v>
      </c>
      <c r="Q119" s="194">
        <v>0.27600000000000002</v>
      </c>
      <c r="R119" s="194">
        <v>0.25</v>
      </c>
      <c r="S119" s="194">
        <v>12</v>
      </c>
      <c r="T119" s="194">
        <v>0.22700000000000001</v>
      </c>
      <c r="U119" s="194">
        <v>0.2</v>
      </c>
      <c r="V119" s="194">
        <v>10</v>
      </c>
      <c r="W119" s="194"/>
      <c r="X119" s="194"/>
      <c r="Y119" s="194"/>
      <c r="Z119" s="194"/>
      <c r="AA119" s="194"/>
      <c r="AB119" s="194"/>
      <c r="AC119" s="194"/>
      <c r="AD119" s="194"/>
      <c r="AE119" s="194"/>
      <c r="AF119" s="194"/>
      <c r="AG119" s="194"/>
      <c r="AH119" s="194"/>
      <c r="AI119" s="194"/>
      <c r="AJ119" s="194"/>
      <c r="AK119" s="194"/>
      <c r="AL119" s="140"/>
      <c r="AM119" s="140"/>
      <c r="AN119" s="140"/>
      <c r="AO119" s="140"/>
      <c r="AP119" s="140"/>
      <c r="AQ119" s="140"/>
      <c r="AR119" s="140"/>
      <c r="AS119" s="140"/>
      <c r="AT119" s="140"/>
      <c r="AU119" s="140"/>
      <c r="AV119" s="140"/>
      <c r="AW119" s="140"/>
      <c r="AX119" s="140"/>
      <c r="AY119" s="140"/>
      <c r="AZ119" s="140"/>
      <c r="BA119" s="140"/>
      <c r="BB119" s="140"/>
      <c r="BC119" s="140"/>
      <c r="BD119" s="140"/>
      <c r="BE119" s="140"/>
      <c r="BF119" s="140"/>
      <c r="BG119" s="140"/>
      <c r="BH119" s="140"/>
      <c r="BI119" s="140"/>
    </row>
    <row r="120" spans="1:61" x14ac:dyDescent="0.3">
      <c r="A120" s="193" t="s">
        <v>343</v>
      </c>
      <c r="B120" s="194">
        <v>0.51500000000000001</v>
      </c>
      <c r="C120" s="194">
        <v>0.54500000000000004</v>
      </c>
      <c r="D120" s="194">
        <v>33</v>
      </c>
      <c r="E120" s="194">
        <v>0.495</v>
      </c>
      <c r="F120" s="194">
        <v>0.48499999999999999</v>
      </c>
      <c r="G120" s="194">
        <v>33</v>
      </c>
      <c r="H120" s="194">
        <v>0.47599999999999998</v>
      </c>
      <c r="I120" s="194">
        <v>0.45200000000000001</v>
      </c>
      <c r="J120" s="194">
        <v>31</v>
      </c>
      <c r="K120" s="194">
        <v>0.49199999999999999</v>
      </c>
      <c r="L120" s="194">
        <v>0.5</v>
      </c>
      <c r="M120" s="194">
        <v>20</v>
      </c>
      <c r="N120" s="194">
        <v>0.5</v>
      </c>
      <c r="O120" s="194">
        <v>0.57099999999999995</v>
      </c>
      <c r="P120" s="194">
        <v>14</v>
      </c>
      <c r="Q120" s="194">
        <v>0.54700000000000004</v>
      </c>
      <c r="R120" s="194">
        <v>0.45</v>
      </c>
      <c r="S120" s="194">
        <v>20</v>
      </c>
      <c r="T120" s="194">
        <v>0.53800000000000003</v>
      </c>
      <c r="U120" s="194">
        <v>0.63200000000000001</v>
      </c>
      <c r="V120" s="194">
        <v>19</v>
      </c>
      <c r="W120" s="194"/>
      <c r="X120" s="194"/>
      <c r="Y120" s="194"/>
      <c r="Z120" s="194"/>
      <c r="AA120" s="194"/>
      <c r="AB120" s="194"/>
      <c r="AC120" s="194"/>
      <c r="AD120" s="194"/>
      <c r="AE120" s="194"/>
      <c r="AF120" s="194"/>
      <c r="AG120" s="194"/>
      <c r="AH120" s="194"/>
      <c r="AI120" s="194"/>
      <c r="AJ120" s="194"/>
      <c r="AK120" s="194"/>
      <c r="AL120" s="140"/>
      <c r="AM120" s="140"/>
      <c r="AN120" s="140"/>
      <c r="AO120" s="140"/>
      <c r="AP120" s="140"/>
      <c r="AQ120" s="140"/>
      <c r="AR120" s="140"/>
      <c r="AS120" s="140"/>
      <c r="AT120" s="140"/>
      <c r="AU120" s="140"/>
      <c r="AV120" s="140"/>
      <c r="AW120" s="140"/>
      <c r="AX120" s="140"/>
      <c r="AY120" s="140"/>
      <c r="AZ120" s="140"/>
      <c r="BA120" s="140"/>
      <c r="BB120" s="140"/>
      <c r="BC120" s="140"/>
      <c r="BD120" s="140"/>
      <c r="BE120" s="140"/>
      <c r="BF120" s="140"/>
      <c r="BG120" s="140"/>
      <c r="BH120" s="140"/>
      <c r="BI120" s="140"/>
    </row>
    <row r="121" spans="1:61" x14ac:dyDescent="0.3">
      <c r="A121" s="193" t="s">
        <v>466</v>
      </c>
      <c r="B121" s="194">
        <v>0.36399999999999999</v>
      </c>
      <c r="C121" s="194">
        <v>0.35299999999999998</v>
      </c>
      <c r="D121" s="194">
        <v>17</v>
      </c>
      <c r="E121" s="194">
        <v>0.373</v>
      </c>
      <c r="F121" s="194">
        <v>0.375</v>
      </c>
      <c r="G121" s="194">
        <v>16</v>
      </c>
      <c r="H121" s="194">
        <v>0.379</v>
      </c>
      <c r="I121" s="194">
        <v>0.38500000000000001</v>
      </c>
      <c r="J121" s="194">
        <v>26</v>
      </c>
      <c r="K121" s="194">
        <v>0.41799999999999998</v>
      </c>
      <c r="L121" s="194">
        <v>0.375</v>
      </c>
      <c r="M121" s="194">
        <v>16</v>
      </c>
      <c r="N121" s="194">
        <v>0.42499999999999999</v>
      </c>
      <c r="O121" s="194">
        <v>0.48</v>
      </c>
      <c r="P121" s="194">
        <v>25</v>
      </c>
      <c r="Q121" s="194">
        <v>0.45600000000000002</v>
      </c>
      <c r="R121" s="194">
        <v>0.40600000000000003</v>
      </c>
      <c r="S121" s="194">
        <v>32</v>
      </c>
      <c r="T121" s="194">
        <v>0.44400000000000001</v>
      </c>
      <c r="U121" s="194">
        <v>0.5</v>
      </c>
      <c r="V121" s="194">
        <v>22</v>
      </c>
      <c r="W121" s="194"/>
      <c r="X121" s="194"/>
      <c r="Y121" s="194"/>
      <c r="Z121" s="194"/>
      <c r="AA121" s="194"/>
      <c r="AB121" s="194"/>
      <c r="AC121" s="194"/>
      <c r="AD121" s="194"/>
      <c r="AE121" s="194"/>
      <c r="AF121" s="194"/>
      <c r="AG121" s="194"/>
      <c r="AH121" s="194"/>
      <c r="AI121" s="194"/>
      <c r="AJ121" s="194"/>
      <c r="AK121" s="194"/>
      <c r="AL121" s="140"/>
      <c r="AM121" s="140"/>
      <c r="AN121" s="140"/>
      <c r="AO121" s="140"/>
      <c r="AP121" s="140"/>
      <c r="AQ121" s="140"/>
      <c r="AR121" s="140"/>
      <c r="AS121" s="140"/>
      <c r="AT121" s="140"/>
      <c r="AU121" s="140"/>
      <c r="AV121" s="140"/>
      <c r="AW121" s="140"/>
      <c r="AX121" s="140"/>
      <c r="AY121" s="140"/>
      <c r="AZ121" s="140"/>
      <c r="BA121" s="140"/>
      <c r="BB121" s="140"/>
      <c r="BC121" s="140"/>
      <c r="BD121" s="140"/>
      <c r="BE121" s="140"/>
      <c r="BF121" s="140"/>
      <c r="BG121" s="140"/>
      <c r="BH121" s="140"/>
      <c r="BI121" s="140"/>
    </row>
    <row r="122" spans="1:61" x14ac:dyDescent="0.3">
      <c r="A122" s="193" t="s">
        <v>376</v>
      </c>
      <c r="B122" s="194">
        <v>0.63800000000000001</v>
      </c>
      <c r="C122" s="194">
        <v>0.81499999999999995</v>
      </c>
      <c r="D122" s="194">
        <v>27</v>
      </c>
      <c r="E122" s="194">
        <v>0.60299999999999998</v>
      </c>
      <c r="F122" s="194">
        <v>0.4</v>
      </c>
      <c r="G122" s="194">
        <v>20</v>
      </c>
      <c r="H122" s="194">
        <v>0.45200000000000001</v>
      </c>
      <c r="I122" s="194">
        <v>0.52400000000000002</v>
      </c>
      <c r="J122" s="194">
        <v>21</v>
      </c>
      <c r="K122" s="194">
        <v>0.53800000000000003</v>
      </c>
      <c r="L122" s="194">
        <v>0.438</v>
      </c>
      <c r="M122" s="194">
        <v>32</v>
      </c>
      <c r="N122" s="194">
        <v>0.51200000000000001</v>
      </c>
      <c r="O122" s="194">
        <v>0.68</v>
      </c>
      <c r="P122" s="194">
        <v>25</v>
      </c>
      <c r="Q122" s="194">
        <v>0.52500000000000002</v>
      </c>
      <c r="R122" s="194">
        <v>0.44800000000000001</v>
      </c>
      <c r="S122" s="194">
        <v>29</v>
      </c>
      <c r="T122" s="194">
        <v>0.47299999999999998</v>
      </c>
      <c r="U122" s="194">
        <v>0.48899999999999999</v>
      </c>
      <c r="V122" s="194">
        <v>45</v>
      </c>
      <c r="W122" s="194"/>
      <c r="X122" s="194"/>
      <c r="Y122" s="194"/>
      <c r="Z122" s="194"/>
      <c r="AA122" s="194"/>
      <c r="AB122" s="194"/>
      <c r="AC122" s="194"/>
      <c r="AD122" s="194"/>
      <c r="AE122" s="194"/>
      <c r="AF122" s="194"/>
      <c r="AG122" s="194"/>
      <c r="AH122" s="194"/>
      <c r="AI122" s="194"/>
      <c r="AJ122" s="194"/>
      <c r="AK122" s="194"/>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row>
    <row r="123" spans="1:61" x14ac:dyDescent="0.3">
      <c r="A123" s="193" t="s">
        <v>534</v>
      </c>
      <c r="B123" s="194">
        <v>0.40200000000000002</v>
      </c>
      <c r="C123" s="194">
        <v>0.32600000000000001</v>
      </c>
      <c r="D123" s="194">
        <v>46</v>
      </c>
      <c r="E123" s="194">
        <v>0.43</v>
      </c>
      <c r="F123" s="194">
        <v>0.47799999999999998</v>
      </c>
      <c r="G123" s="194">
        <v>46</v>
      </c>
      <c r="H123" s="194">
        <v>0.50900000000000001</v>
      </c>
      <c r="I123" s="194">
        <v>0.48799999999999999</v>
      </c>
      <c r="J123" s="194">
        <v>43</v>
      </c>
      <c r="K123" s="194">
        <v>0.53100000000000003</v>
      </c>
      <c r="L123" s="194">
        <v>0.60899999999999999</v>
      </c>
      <c r="M123" s="194">
        <v>23</v>
      </c>
      <c r="N123" s="194">
        <v>0.51300000000000001</v>
      </c>
      <c r="O123" s="194">
        <v>0.53200000000000003</v>
      </c>
      <c r="P123" s="194">
        <v>47</v>
      </c>
      <c r="Q123" s="194">
        <v>0.439</v>
      </c>
      <c r="R123" s="194">
        <v>0.44700000000000001</v>
      </c>
      <c r="S123" s="194">
        <v>47</v>
      </c>
      <c r="T123" s="194">
        <v>0.39600000000000002</v>
      </c>
      <c r="U123" s="194">
        <v>0.35199999999999998</v>
      </c>
      <c r="V123" s="194">
        <v>54</v>
      </c>
      <c r="W123" s="194"/>
      <c r="X123" s="194"/>
      <c r="Y123" s="194"/>
      <c r="Z123" s="194"/>
      <c r="AA123" s="194"/>
      <c r="AB123" s="194"/>
      <c r="AC123" s="194"/>
      <c r="AD123" s="194"/>
      <c r="AE123" s="194"/>
      <c r="AF123" s="194"/>
      <c r="AG123" s="194"/>
      <c r="AH123" s="194"/>
      <c r="AI123" s="194"/>
      <c r="AJ123" s="194"/>
      <c r="AK123" s="194"/>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row>
    <row r="124" spans="1:61" x14ac:dyDescent="0.3">
      <c r="A124" s="193"/>
      <c r="B124" s="194"/>
      <c r="C124" s="194"/>
      <c r="D124" s="194"/>
      <c r="E124" s="194"/>
      <c r="F124" s="194"/>
      <c r="G124" s="194"/>
      <c r="H124" s="194"/>
      <c r="I124" s="194"/>
      <c r="J124" s="194"/>
      <c r="K124" s="194"/>
      <c r="L124" s="194"/>
      <c r="M124" s="194"/>
      <c r="N124" s="194"/>
      <c r="O124" s="194"/>
      <c r="P124" s="194"/>
      <c r="Q124" s="194"/>
      <c r="R124" s="194"/>
      <c r="S124" s="194"/>
      <c r="T124" s="194"/>
      <c r="U124" s="194"/>
      <c r="V124" s="194"/>
      <c r="W124" s="194"/>
      <c r="X124" s="194"/>
      <c r="Y124" s="194"/>
      <c r="Z124" s="194"/>
      <c r="AA124" s="194"/>
      <c r="AB124" s="194"/>
      <c r="AC124" s="194"/>
      <c r="AD124" s="194"/>
      <c r="AE124" s="194"/>
      <c r="AF124" s="194"/>
      <c r="AG124" s="194"/>
      <c r="AH124" s="194"/>
      <c r="AI124" s="194"/>
      <c r="AJ124" s="194"/>
      <c r="AK124" s="194"/>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99F7C-5DBF-479A-BD13-94FC2105880E}">
  <sheetPr>
    <tabColor theme="9" tint="0.79998168889431442"/>
  </sheetPr>
  <dimension ref="A1:BI124"/>
  <sheetViews>
    <sheetView zoomScaleNormal="100" workbookViewId="0">
      <pane xSplit="1" ySplit="1" topLeftCell="B2" activePane="bottomRight" state="frozen"/>
      <selection pane="topRight" activeCell="B1" sqref="B1"/>
      <selection pane="bottomLeft" activeCell="A2" sqref="A2"/>
      <selection pane="bottomRight" sqref="A1:AK123"/>
    </sheetView>
  </sheetViews>
  <sheetFormatPr defaultRowHeight="14.4" x14ac:dyDescent="0.3"/>
  <cols>
    <col min="2" max="5" width="9.109375" style="120"/>
    <col min="10" max="10" width="11.44140625" customWidth="1"/>
    <col min="13" max="13" width="10.5546875" customWidth="1"/>
    <col min="16" max="16" width="10.6640625" customWidth="1"/>
    <col min="19" max="19" width="11.5546875" customWidth="1"/>
    <col min="22" max="22" width="11" customWidth="1"/>
    <col min="25" max="25" width="10.6640625" customWidth="1"/>
    <col min="28" max="28" width="11.88671875" customWidth="1"/>
    <col min="31" max="31" width="11.5546875" customWidth="1"/>
    <col min="34" max="34" width="11.109375" customWidth="1"/>
    <col min="37" max="37" width="11" customWidth="1"/>
  </cols>
  <sheetData>
    <row r="1" spans="1:61" x14ac:dyDescent="0.3">
      <c r="A1" s="193" t="s">
        <v>259</v>
      </c>
      <c r="B1" s="193" t="s">
        <v>138</v>
      </c>
      <c r="C1" s="193" t="s">
        <v>125</v>
      </c>
      <c r="D1" s="193" t="s">
        <v>112</v>
      </c>
      <c r="E1" s="193" t="s">
        <v>139</v>
      </c>
      <c r="F1" s="193" t="s">
        <v>126</v>
      </c>
      <c r="G1" s="193" t="s">
        <v>113</v>
      </c>
      <c r="H1" s="193" t="s">
        <v>140</v>
      </c>
      <c r="I1" s="193" t="s">
        <v>127</v>
      </c>
      <c r="J1" s="193" t="s">
        <v>114</v>
      </c>
      <c r="K1" s="193" t="s">
        <v>141</v>
      </c>
      <c r="L1" s="193" t="s">
        <v>128</v>
      </c>
      <c r="M1" s="193" t="s">
        <v>115</v>
      </c>
      <c r="N1" s="193" t="s">
        <v>142</v>
      </c>
      <c r="O1" s="193" t="s">
        <v>129</v>
      </c>
      <c r="P1" s="193" t="s">
        <v>116</v>
      </c>
      <c r="Q1" s="193" t="s">
        <v>143</v>
      </c>
      <c r="R1" s="193" t="s">
        <v>130</v>
      </c>
      <c r="S1" s="193" t="s">
        <v>117</v>
      </c>
      <c r="T1" s="193" t="s">
        <v>144</v>
      </c>
      <c r="U1" s="193" t="s">
        <v>131</v>
      </c>
      <c r="V1" s="193" t="s">
        <v>118</v>
      </c>
      <c r="W1" s="193" t="s">
        <v>145</v>
      </c>
      <c r="X1" s="193" t="s">
        <v>132</v>
      </c>
      <c r="Y1" s="193" t="s">
        <v>119</v>
      </c>
      <c r="Z1" s="193" t="s">
        <v>146</v>
      </c>
      <c r="AA1" s="193" t="s">
        <v>133</v>
      </c>
      <c r="AB1" s="193" t="s">
        <v>120</v>
      </c>
      <c r="AC1" s="193" t="s">
        <v>147</v>
      </c>
      <c r="AD1" s="193" t="s">
        <v>134</v>
      </c>
      <c r="AE1" s="193" t="s">
        <v>121</v>
      </c>
      <c r="AF1" s="193" t="s">
        <v>148</v>
      </c>
      <c r="AG1" s="193" t="s">
        <v>135</v>
      </c>
      <c r="AH1" s="193" t="s">
        <v>122</v>
      </c>
      <c r="AI1" s="193" t="s">
        <v>149</v>
      </c>
      <c r="AJ1" s="193" t="s">
        <v>136</v>
      </c>
      <c r="AK1" s="193" t="s">
        <v>123</v>
      </c>
      <c r="AL1" s="55"/>
      <c r="AM1" s="55"/>
      <c r="AN1" s="55"/>
      <c r="AO1" s="55"/>
      <c r="AP1" s="55"/>
      <c r="AQ1" s="55"/>
      <c r="AR1" s="55"/>
      <c r="AS1" s="55"/>
      <c r="AT1" s="55"/>
      <c r="AU1" s="55"/>
      <c r="AV1" s="55"/>
      <c r="AW1" s="55"/>
      <c r="AX1" s="55"/>
      <c r="AY1" s="55"/>
      <c r="AZ1" s="55"/>
      <c r="BA1" s="55"/>
      <c r="BB1" s="55"/>
      <c r="BC1" s="55"/>
      <c r="BD1" s="55"/>
      <c r="BE1" s="55"/>
      <c r="BF1" s="55"/>
      <c r="BG1" s="55"/>
      <c r="BH1" s="55"/>
      <c r="BI1" s="55"/>
    </row>
    <row r="2" spans="1:61" x14ac:dyDescent="0.3">
      <c r="A2" s="193" t="s">
        <v>685</v>
      </c>
      <c r="B2" s="194">
        <v>0.79</v>
      </c>
      <c r="C2" s="194">
        <v>0.79500000000000004</v>
      </c>
      <c r="D2" s="194">
        <v>2237</v>
      </c>
      <c r="E2" s="194">
        <v>0.80400000000000005</v>
      </c>
      <c r="F2" s="194">
        <v>0.78600000000000003</v>
      </c>
      <c r="G2" s="194">
        <v>2199</v>
      </c>
      <c r="H2" s="194">
        <v>0.81399999999999995</v>
      </c>
      <c r="I2" s="194">
        <v>0.83099999999999996</v>
      </c>
      <c r="J2" s="194">
        <v>2269</v>
      </c>
      <c r="K2" s="194">
        <v>0.82799999999999996</v>
      </c>
      <c r="L2" s="194">
        <v>0.82499999999999996</v>
      </c>
      <c r="M2" s="194">
        <v>2122</v>
      </c>
      <c r="N2" s="194">
        <v>0.82199999999999995</v>
      </c>
      <c r="O2" s="194">
        <v>0.82699999999999996</v>
      </c>
      <c r="P2" s="194">
        <v>2097</v>
      </c>
      <c r="Q2" s="194">
        <v>0.82899999999999996</v>
      </c>
      <c r="R2" s="194">
        <v>0.81299999999999994</v>
      </c>
      <c r="S2" s="194">
        <v>2239</v>
      </c>
      <c r="T2" s="194">
        <v>0.82399999999999995</v>
      </c>
      <c r="U2" s="194">
        <v>0.84599999999999997</v>
      </c>
      <c r="V2" s="194">
        <v>2172</v>
      </c>
      <c r="W2" s="194">
        <v>0.79500000000000004</v>
      </c>
      <c r="X2" s="194">
        <v>0.81399999999999995</v>
      </c>
      <c r="Y2" s="194">
        <v>2322</v>
      </c>
      <c r="Z2" s="194">
        <v>0.745</v>
      </c>
      <c r="AA2" s="194">
        <v>0.72899999999999998</v>
      </c>
      <c r="AB2" s="194">
        <v>2371</v>
      </c>
      <c r="AC2" s="194">
        <v>0.70199999999999996</v>
      </c>
      <c r="AD2" s="194">
        <v>0.69599999999999995</v>
      </c>
      <c r="AE2" s="194">
        <v>2458</v>
      </c>
      <c r="AF2" s="194">
        <v>0.69599999999999995</v>
      </c>
      <c r="AG2" s="194">
        <v>0.68400000000000005</v>
      </c>
      <c r="AH2" s="194">
        <v>2720</v>
      </c>
      <c r="AI2" s="194">
        <v>0.69699999999999995</v>
      </c>
      <c r="AJ2" s="194">
        <v>0.70899999999999996</v>
      </c>
      <c r="AK2" s="194">
        <v>2702</v>
      </c>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row>
    <row r="3" spans="1:61" x14ac:dyDescent="0.3">
      <c r="A3" s="193" t="s">
        <v>402</v>
      </c>
      <c r="B3" s="194">
        <v>0.876</v>
      </c>
      <c r="C3" s="194">
        <v>0.872</v>
      </c>
      <c r="D3" s="194">
        <v>47</v>
      </c>
      <c r="E3" s="194">
        <v>0.89100000000000001</v>
      </c>
      <c r="F3" s="194">
        <v>0.88100000000000001</v>
      </c>
      <c r="G3" s="194">
        <v>42</v>
      </c>
      <c r="H3" s="194">
        <v>0.88400000000000001</v>
      </c>
      <c r="I3" s="194">
        <v>0.92300000000000004</v>
      </c>
      <c r="J3" s="194">
        <v>39</v>
      </c>
      <c r="K3" s="194">
        <v>0.90500000000000003</v>
      </c>
      <c r="L3" s="194">
        <v>0.83899999999999997</v>
      </c>
      <c r="M3" s="194">
        <v>31</v>
      </c>
      <c r="N3" s="194">
        <v>0.82599999999999996</v>
      </c>
      <c r="O3" s="194">
        <v>0.92900000000000005</v>
      </c>
      <c r="P3" s="194">
        <v>56</v>
      </c>
      <c r="Q3" s="194">
        <v>0.76700000000000002</v>
      </c>
      <c r="R3" s="194">
        <v>0.64700000000000002</v>
      </c>
      <c r="S3" s="194">
        <v>34</v>
      </c>
      <c r="T3" s="194">
        <v>0.41699999999999998</v>
      </c>
      <c r="U3" s="194">
        <v>0.38500000000000001</v>
      </c>
      <c r="V3" s="194">
        <v>13</v>
      </c>
      <c r="W3" s="194">
        <v>0.20699999999999999</v>
      </c>
      <c r="X3" s="194">
        <v>0.12</v>
      </c>
      <c r="Y3" s="194">
        <v>25</v>
      </c>
      <c r="Z3" s="194">
        <v>0.20300000000000001</v>
      </c>
      <c r="AA3" s="194">
        <v>0.2</v>
      </c>
      <c r="AB3" s="194">
        <v>20</v>
      </c>
      <c r="AC3" s="194">
        <v>0.25</v>
      </c>
      <c r="AD3" s="194">
        <v>0.316</v>
      </c>
      <c r="AE3" s="194">
        <v>19</v>
      </c>
      <c r="AF3" s="194">
        <v>0.20300000000000001</v>
      </c>
      <c r="AG3" s="194">
        <v>0.23499999999999999</v>
      </c>
      <c r="AH3" s="194">
        <v>17</v>
      </c>
      <c r="AI3" s="194">
        <v>0.16</v>
      </c>
      <c r="AJ3" s="194">
        <v>0.121</v>
      </c>
      <c r="AK3" s="194">
        <v>33</v>
      </c>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row>
    <row r="4" spans="1:61" x14ac:dyDescent="0.3">
      <c r="A4" s="193" t="s">
        <v>472</v>
      </c>
      <c r="B4" s="194">
        <v>0.90900000000000003</v>
      </c>
      <c r="C4" s="194">
        <v>0.93600000000000005</v>
      </c>
      <c r="D4" s="194">
        <v>47</v>
      </c>
      <c r="E4" s="194">
        <v>0.91300000000000003</v>
      </c>
      <c r="F4" s="194">
        <v>0.878</v>
      </c>
      <c r="G4" s="194">
        <v>41</v>
      </c>
      <c r="H4" s="194">
        <v>0.88500000000000001</v>
      </c>
      <c r="I4" s="194">
        <v>0.92300000000000004</v>
      </c>
      <c r="J4" s="194">
        <v>39</v>
      </c>
      <c r="K4" s="194">
        <v>0.86899999999999999</v>
      </c>
      <c r="L4" s="194">
        <v>0.84799999999999998</v>
      </c>
      <c r="M4" s="194">
        <v>33</v>
      </c>
      <c r="N4" s="194">
        <v>0.84599999999999997</v>
      </c>
      <c r="O4" s="194">
        <v>0.82899999999999996</v>
      </c>
      <c r="P4" s="194">
        <v>35</v>
      </c>
      <c r="Q4" s="194">
        <v>0.86</v>
      </c>
      <c r="R4" s="194">
        <v>0.86099999999999999</v>
      </c>
      <c r="S4" s="194">
        <v>36</v>
      </c>
      <c r="T4" s="194">
        <v>0.88100000000000001</v>
      </c>
      <c r="U4" s="194">
        <v>0.88900000000000001</v>
      </c>
      <c r="V4" s="194">
        <v>36</v>
      </c>
      <c r="W4" s="194">
        <v>0.877</v>
      </c>
      <c r="X4" s="194">
        <v>0.89100000000000001</v>
      </c>
      <c r="Y4" s="194">
        <v>46</v>
      </c>
      <c r="Z4" s="194">
        <v>0.82699999999999996</v>
      </c>
      <c r="AA4" s="194">
        <v>0.84399999999999997</v>
      </c>
      <c r="AB4" s="194">
        <v>32</v>
      </c>
      <c r="AC4" s="194">
        <v>0.752</v>
      </c>
      <c r="AD4" s="194">
        <v>0.755</v>
      </c>
      <c r="AE4" s="194">
        <v>49</v>
      </c>
      <c r="AF4" s="194">
        <v>0.75</v>
      </c>
      <c r="AG4" s="194">
        <v>0.70299999999999996</v>
      </c>
      <c r="AH4" s="194">
        <v>64</v>
      </c>
      <c r="AI4" s="194">
        <v>0.748</v>
      </c>
      <c r="AJ4" s="194">
        <v>0.80400000000000005</v>
      </c>
      <c r="AK4" s="194">
        <v>51</v>
      </c>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row>
    <row r="5" spans="1:61" x14ac:dyDescent="0.3">
      <c r="A5" s="193" t="s">
        <v>524</v>
      </c>
      <c r="B5" s="194">
        <v>0.94899999999999995</v>
      </c>
      <c r="C5" s="194">
        <v>0.97099999999999997</v>
      </c>
      <c r="D5" s="194">
        <v>34</v>
      </c>
      <c r="E5" s="194">
        <v>0.93899999999999995</v>
      </c>
      <c r="F5" s="194">
        <v>0.92</v>
      </c>
      <c r="G5" s="194">
        <v>25</v>
      </c>
      <c r="H5" s="194">
        <v>0.872</v>
      </c>
      <c r="I5" s="194">
        <v>0.91300000000000003</v>
      </c>
      <c r="J5" s="194">
        <v>23</v>
      </c>
      <c r="K5" s="194">
        <v>0.84</v>
      </c>
      <c r="L5" s="194">
        <v>0.8</v>
      </c>
      <c r="M5" s="194">
        <v>30</v>
      </c>
      <c r="N5" s="194">
        <v>0.81899999999999995</v>
      </c>
      <c r="O5" s="194">
        <v>0.81799999999999995</v>
      </c>
      <c r="P5" s="194">
        <v>22</v>
      </c>
      <c r="Q5" s="194">
        <v>0.85299999999999998</v>
      </c>
      <c r="R5" s="194">
        <v>0.85</v>
      </c>
      <c r="S5" s="194">
        <v>20</v>
      </c>
      <c r="T5" s="194">
        <v>0.89300000000000002</v>
      </c>
      <c r="U5" s="194">
        <v>0.88500000000000001</v>
      </c>
      <c r="V5" s="194">
        <v>26</v>
      </c>
      <c r="W5" s="194">
        <v>0.85</v>
      </c>
      <c r="X5" s="194">
        <v>0.93100000000000005</v>
      </c>
      <c r="Y5" s="194">
        <v>29</v>
      </c>
      <c r="Z5" s="194">
        <v>0.73499999999999999</v>
      </c>
      <c r="AA5" s="194">
        <v>0.72</v>
      </c>
      <c r="AB5" s="194">
        <v>25</v>
      </c>
      <c r="AC5" s="194">
        <v>0.65400000000000003</v>
      </c>
      <c r="AD5" s="194">
        <v>0.55200000000000005</v>
      </c>
      <c r="AE5" s="194">
        <v>29</v>
      </c>
      <c r="AF5" s="194">
        <v>0.64</v>
      </c>
      <c r="AG5" s="194">
        <v>0.70399999999999996</v>
      </c>
      <c r="AH5" s="194">
        <v>27</v>
      </c>
      <c r="AI5" s="194">
        <v>0.68300000000000005</v>
      </c>
      <c r="AJ5" s="194">
        <v>0.66700000000000004</v>
      </c>
      <c r="AK5" s="194">
        <v>33</v>
      </c>
      <c r="AL5" s="140"/>
      <c r="AM5" s="140"/>
      <c r="AN5" s="140"/>
      <c r="AO5" s="140"/>
      <c r="AP5" s="140"/>
      <c r="AQ5" s="140"/>
      <c r="AR5" s="140"/>
      <c r="AS5" s="140"/>
      <c r="AT5" s="140"/>
      <c r="AU5" s="140"/>
      <c r="AV5" s="140"/>
      <c r="AW5" s="140"/>
      <c r="AX5" s="140"/>
      <c r="AY5" s="140"/>
      <c r="AZ5" s="140"/>
      <c r="BA5" s="140"/>
      <c r="BB5" s="140"/>
      <c r="BC5" s="140"/>
      <c r="BD5" s="140"/>
      <c r="BE5" s="140"/>
      <c r="BF5" s="140"/>
      <c r="BG5" s="140"/>
      <c r="BH5" s="140"/>
      <c r="BI5" s="140"/>
    </row>
    <row r="6" spans="1:61" x14ac:dyDescent="0.3">
      <c r="A6" s="193" t="s">
        <v>378</v>
      </c>
      <c r="B6" s="194">
        <v>0.82399999999999995</v>
      </c>
      <c r="C6" s="194">
        <v>1</v>
      </c>
      <c r="D6" s="194">
        <v>5</v>
      </c>
      <c r="E6" s="194">
        <v>0.73099999999999998</v>
      </c>
      <c r="F6" s="194">
        <v>0.75</v>
      </c>
      <c r="G6" s="194">
        <v>12</v>
      </c>
      <c r="H6" s="194">
        <v>0.70399999999999996</v>
      </c>
      <c r="I6" s="194">
        <v>0.55600000000000005</v>
      </c>
      <c r="J6" s="194">
        <v>9</v>
      </c>
      <c r="K6" s="194">
        <v>0.75</v>
      </c>
      <c r="L6" s="194">
        <v>0.83299999999999996</v>
      </c>
      <c r="M6" s="194">
        <v>6</v>
      </c>
      <c r="N6" s="194">
        <v>0.92900000000000005</v>
      </c>
      <c r="O6" s="194">
        <v>1</v>
      </c>
      <c r="P6" s="194">
        <v>5</v>
      </c>
      <c r="Q6" s="194">
        <v>0.82399999999999995</v>
      </c>
      <c r="R6" s="194">
        <v>1</v>
      </c>
      <c r="S6" s="194">
        <v>3</v>
      </c>
      <c r="T6" s="194">
        <v>0.81</v>
      </c>
      <c r="U6" s="194">
        <v>0.66700000000000004</v>
      </c>
      <c r="V6" s="194">
        <v>9</v>
      </c>
      <c r="W6" s="194">
        <v>0.77300000000000002</v>
      </c>
      <c r="X6" s="194">
        <v>0.88900000000000001</v>
      </c>
      <c r="Y6" s="194">
        <v>9</v>
      </c>
      <c r="Z6" s="194">
        <v>0.78900000000000003</v>
      </c>
      <c r="AA6" s="194">
        <v>0.75</v>
      </c>
      <c r="AB6" s="194">
        <v>4</v>
      </c>
      <c r="AC6" s="194">
        <v>0.56299999999999994</v>
      </c>
      <c r="AD6" s="194">
        <v>0.66700000000000004</v>
      </c>
      <c r="AE6" s="194">
        <v>6</v>
      </c>
      <c r="AF6" s="194">
        <v>0.58099999999999996</v>
      </c>
      <c r="AG6" s="194">
        <v>0.33300000000000002</v>
      </c>
      <c r="AH6" s="194">
        <v>6</v>
      </c>
      <c r="AI6" s="194">
        <v>0.56000000000000005</v>
      </c>
      <c r="AJ6" s="194">
        <v>0.63200000000000001</v>
      </c>
      <c r="AK6" s="194">
        <v>19</v>
      </c>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row>
    <row r="7" spans="1:61" x14ac:dyDescent="0.3">
      <c r="A7" s="193" t="s">
        <v>281</v>
      </c>
      <c r="B7" s="194">
        <v>0.66700000000000004</v>
      </c>
      <c r="C7" s="194">
        <v>0.63600000000000001</v>
      </c>
      <c r="D7" s="194">
        <v>11</v>
      </c>
      <c r="E7" s="194">
        <v>0.73899999999999999</v>
      </c>
      <c r="F7" s="194">
        <v>0.7</v>
      </c>
      <c r="G7" s="194">
        <v>10</v>
      </c>
      <c r="H7" s="194">
        <v>0.82799999999999996</v>
      </c>
      <c r="I7" s="194">
        <v>0.8</v>
      </c>
      <c r="J7" s="194">
        <v>25</v>
      </c>
      <c r="K7" s="194">
        <v>0.83299999999999996</v>
      </c>
      <c r="L7" s="194">
        <v>0.91300000000000003</v>
      </c>
      <c r="M7" s="194">
        <v>23</v>
      </c>
      <c r="N7" s="194">
        <v>0.86799999999999999</v>
      </c>
      <c r="O7" s="194">
        <v>0.66700000000000004</v>
      </c>
      <c r="P7" s="194">
        <v>6</v>
      </c>
      <c r="Q7" s="194">
        <v>0.77100000000000002</v>
      </c>
      <c r="R7" s="194">
        <v>0.88900000000000001</v>
      </c>
      <c r="S7" s="194">
        <v>9</v>
      </c>
      <c r="T7" s="194">
        <v>0.83</v>
      </c>
      <c r="U7" s="194">
        <v>0.75</v>
      </c>
      <c r="V7" s="194">
        <v>20</v>
      </c>
      <c r="W7" s="194">
        <v>0.80700000000000005</v>
      </c>
      <c r="X7" s="194">
        <v>0.875</v>
      </c>
      <c r="Y7" s="194">
        <v>24</v>
      </c>
      <c r="Z7" s="194">
        <v>0.79700000000000004</v>
      </c>
      <c r="AA7" s="194">
        <v>0.76900000000000002</v>
      </c>
      <c r="AB7" s="194">
        <v>13</v>
      </c>
      <c r="AC7" s="194">
        <v>0.745</v>
      </c>
      <c r="AD7" s="194">
        <v>0.72699999999999998</v>
      </c>
      <c r="AE7" s="194">
        <v>22</v>
      </c>
      <c r="AF7" s="194">
        <v>0.745</v>
      </c>
      <c r="AG7" s="194">
        <v>0.75</v>
      </c>
      <c r="AH7" s="194">
        <v>12</v>
      </c>
      <c r="AI7" s="194">
        <v>0.76</v>
      </c>
      <c r="AJ7" s="194">
        <v>0.76900000000000002</v>
      </c>
      <c r="AK7" s="194">
        <v>13</v>
      </c>
      <c r="AL7" s="140"/>
      <c r="AM7" s="140"/>
      <c r="AN7" s="140"/>
      <c r="AO7" s="140"/>
      <c r="AP7" s="140"/>
      <c r="AQ7" s="140"/>
      <c r="AR7" s="140"/>
      <c r="AS7" s="140"/>
      <c r="AT7" s="140"/>
      <c r="AU7" s="140"/>
      <c r="AV7" s="140"/>
      <c r="AW7" s="140"/>
      <c r="AX7" s="140"/>
      <c r="AY7" s="140"/>
      <c r="AZ7" s="140"/>
      <c r="BA7" s="140"/>
      <c r="BB7" s="140"/>
      <c r="BC7" s="140"/>
      <c r="BD7" s="140"/>
      <c r="BE7" s="140"/>
      <c r="BF7" s="140"/>
      <c r="BG7" s="140"/>
      <c r="BH7" s="140"/>
      <c r="BI7" s="140"/>
    </row>
    <row r="8" spans="1:61" x14ac:dyDescent="0.3">
      <c r="A8" s="193" t="s">
        <v>398</v>
      </c>
      <c r="B8" s="194">
        <v>0.83899999999999997</v>
      </c>
      <c r="C8" s="194">
        <v>0.77800000000000002</v>
      </c>
      <c r="D8" s="194">
        <v>18</v>
      </c>
      <c r="E8" s="194">
        <v>0.81599999999999995</v>
      </c>
      <c r="F8" s="194">
        <v>0.92300000000000004</v>
      </c>
      <c r="G8" s="194">
        <v>13</v>
      </c>
      <c r="H8" s="194">
        <v>0.86799999999999999</v>
      </c>
      <c r="I8" s="194">
        <v>0.77800000000000002</v>
      </c>
      <c r="J8" s="194">
        <v>18</v>
      </c>
      <c r="K8" s="194">
        <v>0.85699999999999998</v>
      </c>
      <c r="L8" s="194">
        <v>1</v>
      </c>
      <c r="M8" s="194">
        <v>7</v>
      </c>
      <c r="N8" s="194">
        <v>0.88500000000000001</v>
      </c>
      <c r="O8" s="194">
        <v>0.9</v>
      </c>
      <c r="P8" s="194">
        <v>10</v>
      </c>
      <c r="Q8" s="194">
        <v>0.85299999999999998</v>
      </c>
      <c r="R8" s="194">
        <v>0.77800000000000002</v>
      </c>
      <c r="S8" s="194">
        <v>9</v>
      </c>
      <c r="T8" s="194">
        <v>0.83299999999999996</v>
      </c>
      <c r="U8" s="194">
        <v>0.86699999999999999</v>
      </c>
      <c r="V8" s="194">
        <v>15</v>
      </c>
      <c r="W8" s="194">
        <v>0.84199999999999997</v>
      </c>
      <c r="X8" s="194">
        <v>0.83299999999999996</v>
      </c>
      <c r="Y8" s="194">
        <v>12</v>
      </c>
      <c r="Z8" s="194">
        <v>0.82199999999999995</v>
      </c>
      <c r="AA8" s="194">
        <v>0.81799999999999995</v>
      </c>
      <c r="AB8" s="194">
        <v>11</v>
      </c>
      <c r="AC8" s="194">
        <v>0.84899999999999998</v>
      </c>
      <c r="AD8" s="194">
        <v>0.81799999999999995</v>
      </c>
      <c r="AE8" s="194">
        <v>22</v>
      </c>
      <c r="AF8" s="194">
        <v>0.82899999999999996</v>
      </c>
      <c r="AG8" s="194">
        <v>0.9</v>
      </c>
      <c r="AH8" s="194">
        <v>20</v>
      </c>
      <c r="AI8" s="194">
        <v>0.83299999999999996</v>
      </c>
      <c r="AJ8" s="194">
        <v>0.78600000000000003</v>
      </c>
      <c r="AK8" s="194">
        <v>28</v>
      </c>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row>
    <row r="9" spans="1:61" x14ac:dyDescent="0.3">
      <c r="A9" s="193" t="s">
        <v>452</v>
      </c>
      <c r="B9" s="194">
        <v>0.83299999999999996</v>
      </c>
      <c r="C9" s="194">
        <v>0.82399999999999995</v>
      </c>
      <c r="D9" s="194">
        <v>17</v>
      </c>
      <c r="E9" s="194">
        <v>0.85699999999999998</v>
      </c>
      <c r="F9" s="194">
        <v>0.84599999999999997</v>
      </c>
      <c r="G9" s="194">
        <v>13</v>
      </c>
      <c r="H9" s="194">
        <v>0.81</v>
      </c>
      <c r="I9" s="194">
        <v>0.91700000000000004</v>
      </c>
      <c r="J9" s="194">
        <v>12</v>
      </c>
      <c r="K9" s="194">
        <v>0.79500000000000004</v>
      </c>
      <c r="L9" s="194">
        <v>0.70599999999999996</v>
      </c>
      <c r="M9" s="194">
        <v>17</v>
      </c>
      <c r="N9" s="194">
        <v>0.83699999999999997</v>
      </c>
      <c r="O9" s="194">
        <v>0.8</v>
      </c>
      <c r="P9" s="194">
        <v>10</v>
      </c>
      <c r="Q9" s="194">
        <v>0.875</v>
      </c>
      <c r="R9" s="194">
        <v>0.95499999999999996</v>
      </c>
      <c r="S9" s="194">
        <v>22</v>
      </c>
      <c r="T9" s="194">
        <v>0.86299999999999999</v>
      </c>
      <c r="U9" s="194">
        <v>0.81299999999999994</v>
      </c>
      <c r="V9" s="194">
        <v>16</v>
      </c>
      <c r="W9" s="194">
        <v>0.8</v>
      </c>
      <c r="X9" s="194">
        <v>0.76900000000000002</v>
      </c>
      <c r="Y9" s="194">
        <v>13</v>
      </c>
      <c r="Z9" s="194">
        <v>0.74399999999999999</v>
      </c>
      <c r="AA9" s="194">
        <v>0.81299999999999994</v>
      </c>
      <c r="AB9" s="194">
        <v>16</v>
      </c>
      <c r="AC9" s="194">
        <v>0.71399999999999997</v>
      </c>
      <c r="AD9" s="194">
        <v>0.64300000000000002</v>
      </c>
      <c r="AE9" s="194">
        <v>14</v>
      </c>
      <c r="AF9" s="194">
        <v>0.71099999999999997</v>
      </c>
      <c r="AG9" s="194">
        <v>0.68400000000000005</v>
      </c>
      <c r="AH9" s="194">
        <v>19</v>
      </c>
      <c r="AI9" s="194">
        <v>0.74199999999999999</v>
      </c>
      <c r="AJ9" s="194">
        <v>0.83299999999999996</v>
      </c>
      <c r="AK9" s="194">
        <v>12</v>
      </c>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row>
    <row r="10" spans="1:61" x14ac:dyDescent="0.3">
      <c r="A10" s="193" t="s">
        <v>520</v>
      </c>
      <c r="B10" s="194">
        <v>1</v>
      </c>
      <c r="C10" s="194">
        <v>1</v>
      </c>
      <c r="D10" s="194">
        <v>2</v>
      </c>
      <c r="E10" s="194">
        <v>1</v>
      </c>
      <c r="F10" s="194">
        <v>1</v>
      </c>
      <c r="G10" s="194">
        <v>7</v>
      </c>
      <c r="H10" s="194">
        <v>0.92300000000000004</v>
      </c>
      <c r="I10" s="194">
        <v>1</v>
      </c>
      <c r="J10" s="194">
        <v>5</v>
      </c>
      <c r="K10" s="194">
        <v>0.6</v>
      </c>
      <c r="L10" s="194">
        <v>0</v>
      </c>
      <c r="M10" s="194">
        <v>1</v>
      </c>
      <c r="N10" s="194">
        <v>0.33300000000000002</v>
      </c>
      <c r="O10" s="194">
        <v>0.25</v>
      </c>
      <c r="P10" s="194">
        <v>4</v>
      </c>
      <c r="Q10" s="194">
        <v>0.5</v>
      </c>
      <c r="R10" s="194">
        <v>1</v>
      </c>
      <c r="S10" s="194">
        <v>1</v>
      </c>
      <c r="T10" s="194">
        <v>0.8</v>
      </c>
      <c r="U10" s="194">
        <v>0.66700000000000004</v>
      </c>
      <c r="V10" s="194">
        <v>3</v>
      </c>
      <c r="W10" s="194">
        <v>0.8</v>
      </c>
      <c r="X10" s="194">
        <v>1</v>
      </c>
      <c r="Y10" s="194">
        <v>1</v>
      </c>
      <c r="Z10" s="194">
        <v>1</v>
      </c>
      <c r="AA10" s="194">
        <v>1</v>
      </c>
      <c r="AB10" s="194">
        <v>1</v>
      </c>
      <c r="AC10" s="194">
        <v>0.6</v>
      </c>
      <c r="AD10" s="194">
        <v>1</v>
      </c>
      <c r="AE10" s="194">
        <v>1</v>
      </c>
      <c r="AF10" s="194">
        <v>0.5</v>
      </c>
      <c r="AG10" s="194">
        <v>0.33300000000000002</v>
      </c>
      <c r="AH10" s="194">
        <v>3</v>
      </c>
      <c r="AI10" s="194">
        <v>0.33300000000000002</v>
      </c>
      <c r="AJ10" s="194"/>
      <c r="AK10" s="194"/>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row>
    <row r="11" spans="1:61" x14ac:dyDescent="0.3">
      <c r="A11" s="193" t="s">
        <v>510</v>
      </c>
      <c r="B11" s="194">
        <v>0.96299999999999997</v>
      </c>
      <c r="C11" s="194">
        <v>1</v>
      </c>
      <c r="D11" s="194">
        <v>12</v>
      </c>
      <c r="E11" s="194">
        <v>0.94699999999999995</v>
      </c>
      <c r="F11" s="194">
        <v>0.93300000000000005</v>
      </c>
      <c r="G11" s="194">
        <v>15</v>
      </c>
      <c r="H11" s="194">
        <v>0.91700000000000004</v>
      </c>
      <c r="I11" s="194">
        <v>0.90900000000000003</v>
      </c>
      <c r="J11" s="194">
        <v>11</v>
      </c>
      <c r="K11" s="194">
        <v>0.91700000000000004</v>
      </c>
      <c r="L11" s="194">
        <v>0.9</v>
      </c>
      <c r="M11" s="194">
        <v>10</v>
      </c>
      <c r="N11" s="194">
        <v>0.875</v>
      </c>
      <c r="O11" s="194">
        <v>0.93300000000000005</v>
      </c>
      <c r="P11" s="194">
        <v>15</v>
      </c>
      <c r="Q11" s="194">
        <v>0.85299999999999998</v>
      </c>
      <c r="R11" s="194">
        <v>0.71399999999999997</v>
      </c>
      <c r="S11" s="194">
        <v>7</v>
      </c>
      <c r="T11" s="194">
        <v>0.875</v>
      </c>
      <c r="U11" s="194">
        <v>0.83299999999999996</v>
      </c>
      <c r="V11" s="194">
        <v>12</v>
      </c>
      <c r="W11" s="194">
        <v>0.79400000000000004</v>
      </c>
      <c r="X11" s="194">
        <v>1</v>
      </c>
      <c r="Y11" s="194">
        <v>13</v>
      </c>
      <c r="Z11" s="194">
        <v>0.78100000000000003</v>
      </c>
      <c r="AA11" s="194">
        <v>0.44400000000000001</v>
      </c>
      <c r="AB11" s="194">
        <v>9</v>
      </c>
      <c r="AC11" s="194">
        <v>0.64500000000000002</v>
      </c>
      <c r="AD11" s="194">
        <v>0.8</v>
      </c>
      <c r="AE11" s="194">
        <v>10</v>
      </c>
      <c r="AF11" s="194">
        <v>0.63300000000000001</v>
      </c>
      <c r="AG11" s="194">
        <v>0.66700000000000004</v>
      </c>
      <c r="AH11" s="194">
        <v>12</v>
      </c>
      <c r="AI11" s="194">
        <v>0.55000000000000004</v>
      </c>
      <c r="AJ11" s="194">
        <v>0.375</v>
      </c>
      <c r="AK11" s="194">
        <v>8</v>
      </c>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row>
    <row r="12" spans="1:61" x14ac:dyDescent="0.3">
      <c r="A12" s="193" t="s">
        <v>296</v>
      </c>
      <c r="B12" s="194">
        <v>0.84599999999999997</v>
      </c>
      <c r="C12" s="194">
        <v>0.81799999999999995</v>
      </c>
      <c r="D12" s="194">
        <v>11</v>
      </c>
      <c r="E12" s="194">
        <v>0.9</v>
      </c>
      <c r="F12" s="194">
        <v>0.86699999999999999</v>
      </c>
      <c r="G12" s="194">
        <v>15</v>
      </c>
      <c r="H12" s="194">
        <v>0.94899999999999995</v>
      </c>
      <c r="I12" s="194">
        <v>1</v>
      </c>
      <c r="J12" s="194">
        <v>14</v>
      </c>
      <c r="K12" s="194">
        <v>0.97199999999999998</v>
      </c>
      <c r="L12" s="194">
        <v>1</v>
      </c>
      <c r="M12" s="194">
        <v>10</v>
      </c>
      <c r="N12" s="194">
        <v>0.92700000000000005</v>
      </c>
      <c r="O12" s="194">
        <v>0.91700000000000004</v>
      </c>
      <c r="P12" s="194">
        <v>12</v>
      </c>
      <c r="Q12" s="194">
        <v>0.92500000000000004</v>
      </c>
      <c r="R12" s="194">
        <v>0.89500000000000002</v>
      </c>
      <c r="S12" s="194">
        <v>19</v>
      </c>
      <c r="T12" s="194">
        <v>0.92300000000000004</v>
      </c>
      <c r="U12" s="194">
        <v>1</v>
      </c>
      <c r="V12" s="194">
        <v>9</v>
      </c>
      <c r="W12" s="194">
        <v>0.88100000000000001</v>
      </c>
      <c r="X12" s="194">
        <v>0.90900000000000003</v>
      </c>
      <c r="Y12" s="194">
        <v>11</v>
      </c>
      <c r="Z12" s="194">
        <v>0.78700000000000003</v>
      </c>
      <c r="AA12" s="194">
        <v>0.81799999999999995</v>
      </c>
      <c r="AB12" s="194">
        <v>22</v>
      </c>
      <c r="AC12" s="194">
        <v>0.76</v>
      </c>
      <c r="AD12" s="194">
        <v>0.64300000000000002</v>
      </c>
      <c r="AE12" s="194">
        <v>14</v>
      </c>
      <c r="AF12" s="194">
        <v>0.7</v>
      </c>
      <c r="AG12" s="194">
        <v>0.78600000000000003</v>
      </c>
      <c r="AH12" s="194">
        <v>14</v>
      </c>
      <c r="AI12" s="194">
        <v>0.73099999999999998</v>
      </c>
      <c r="AJ12" s="194">
        <v>0.66700000000000004</v>
      </c>
      <c r="AK12" s="194">
        <v>12</v>
      </c>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row>
    <row r="13" spans="1:61" x14ac:dyDescent="0.3">
      <c r="A13" s="193" t="s">
        <v>406</v>
      </c>
      <c r="B13" s="194">
        <v>0.81100000000000005</v>
      </c>
      <c r="C13" s="194">
        <v>0.76600000000000001</v>
      </c>
      <c r="D13" s="194">
        <v>47</v>
      </c>
      <c r="E13" s="194">
        <v>0.82599999999999996</v>
      </c>
      <c r="F13" s="194">
        <v>0.85399999999999998</v>
      </c>
      <c r="G13" s="194">
        <v>48</v>
      </c>
      <c r="H13" s="194">
        <v>0.85499999999999998</v>
      </c>
      <c r="I13" s="194">
        <v>0.85199999999999998</v>
      </c>
      <c r="J13" s="194">
        <v>54</v>
      </c>
      <c r="K13" s="194">
        <v>0.82899999999999996</v>
      </c>
      <c r="L13" s="194">
        <v>0.86</v>
      </c>
      <c r="M13" s="194">
        <v>57</v>
      </c>
      <c r="N13" s="194">
        <v>0.83299999999999996</v>
      </c>
      <c r="O13" s="194">
        <v>0.74299999999999999</v>
      </c>
      <c r="P13" s="194">
        <v>35</v>
      </c>
      <c r="Q13" s="194">
        <v>0.83499999999999996</v>
      </c>
      <c r="R13" s="194">
        <v>0.88200000000000001</v>
      </c>
      <c r="S13" s="194">
        <v>34</v>
      </c>
      <c r="T13" s="194">
        <v>0.876</v>
      </c>
      <c r="U13" s="194">
        <v>0.90900000000000003</v>
      </c>
      <c r="V13" s="194">
        <v>22</v>
      </c>
      <c r="W13" s="194">
        <v>0.77300000000000002</v>
      </c>
      <c r="X13" s="194">
        <v>0.85699999999999998</v>
      </c>
      <c r="Y13" s="194">
        <v>49</v>
      </c>
      <c r="Z13" s="194">
        <v>0.68</v>
      </c>
      <c r="AA13" s="194">
        <v>0.65600000000000003</v>
      </c>
      <c r="AB13" s="194">
        <v>61</v>
      </c>
      <c r="AC13" s="194">
        <v>0.65</v>
      </c>
      <c r="AD13" s="194">
        <v>0.56899999999999995</v>
      </c>
      <c r="AE13" s="194">
        <v>65</v>
      </c>
      <c r="AF13" s="194">
        <v>0.66300000000000003</v>
      </c>
      <c r="AG13" s="194">
        <v>0.7</v>
      </c>
      <c r="AH13" s="194">
        <v>100</v>
      </c>
      <c r="AI13" s="194">
        <v>0.69699999999999995</v>
      </c>
      <c r="AJ13" s="194">
        <v>0.69299999999999995</v>
      </c>
      <c r="AK13" s="194">
        <v>75</v>
      </c>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row>
    <row r="14" spans="1:61" x14ac:dyDescent="0.3">
      <c r="A14" s="193" t="s">
        <v>450</v>
      </c>
      <c r="B14" s="194">
        <v>0.79800000000000004</v>
      </c>
      <c r="C14" s="194">
        <v>0.77800000000000002</v>
      </c>
      <c r="D14" s="194">
        <v>63</v>
      </c>
      <c r="E14" s="194">
        <v>0.81299999999999994</v>
      </c>
      <c r="F14" s="194">
        <v>0.82</v>
      </c>
      <c r="G14" s="194">
        <v>61</v>
      </c>
      <c r="H14" s="194">
        <v>0.80300000000000005</v>
      </c>
      <c r="I14" s="194">
        <v>0.84099999999999997</v>
      </c>
      <c r="J14" s="194">
        <v>63</v>
      </c>
      <c r="K14" s="194">
        <v>0.79500000000000004</v>
      </c>
      <c r="L14" s="194">
        <v>0.74099999999999999</v>
      </c>
      <c r="M14" s="194">
        <v>54</v>
      </c>
      <c r="N14" s="194">
        <v>0.73499999999999999</v>
      </c>
      <c r="O14" s="194">
        <v>0.79700000000000004</v>
      </c>
      <c r="P14" s="194">
        <v>59</v>
      </c>
      <c r="Q14" s="194">
        <v>0.71699999999999997</v>
      </c>
      <c r="R14" s="194">
        <v>0.66</v>
      </c>
      <c r="S14" s="194">
        <v>53</v>
      </c>
      <c r="T14" s="194">
        <v>0.71099999999999997</v>
      </c>
      <c r="U14" s="194">
        <v>0.67500000000000004</v>
      </c>
      <c r="V14" s="194">
        <v>40</v>
      </c>
      <c r="W14" s="194">
        <v>0.73099999999999998</v>
      </c>
      <c r="X14" s="194">
        <v>0.81</v>
      </c>
      <c r="Y14" s="194">
        <v>42</v>
      </c>
      <c r="Z14" s="194">
        <v>0.748</v>
      </c>
      <c r="AA14" s="194">
        <v>0.71199999999999997</v>
      </c>
      <c r="AB14" s="194">
        <v>52</v>
      </c>
      <c r="AC14" s="194">
        <v>0.71</v>
      </c>
      <c r="AD14" s="194">
        <v>0.73799999999999999</v>
      </c>
      <c r="AE14" s="194">
        <v>65</v>
      </c>
      <c r="AF14" s="194">
        <v>0.69699999999999995</v>
      </c>
      <c r="AG14" s="194">
        <v>0.68400000000000005</v>
      </c>
      <c r="AH14" s="194">
        <v>76</v>
      </c>
      <c r="AI14" s="194">
        <v>0.67700000000000005</v>
      </c>
      <c r="AJ14" s="194">
        <v>0.66700000000000004</v>
      </c>
      <c r="AK14" s="194">
        <v>54</v>
      </c>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row>
    <row r="15" spans="1:61" x14ac:dyDescent="0.3">
      <c r="A15" s="193" t="s">
        <v>420</v>
      </c>
      <c r="B15" s="194">
        <v>1</v>
      </c>
      <c r="C15" s="194">
        <v>1</v>
      </c>
      <c r="D15" s="194">
        <v>3</v>
      </c>
      <c r="E15" s="194">
        <v>0.83299999999999996</v>
      </c>
      <c r="F15" s="194"/>
      <c r="G15" s="194"/>
      <c r="H15" s="194">
        <v>0.83299999999999996</v>
      </c>
      <c r="I15" s="194">
        <v>0.66700000000000004</v>
      </c>
      <c r="J15" s="194">
        <v>3</v>
      </c>
      <c r="K15" s="194">
        <v>0.71399999999999997</v>
      </c>
      <c r="L15" s="194">
        <v>1</v>
      </c>
      <c r="M15" s="194">
        <v>3</v>
      </c>
      <c r="N15" s="194">
        <v>0.85699999999999998</v>
      </c>
      <c r="O15" s="194">
        <v>0</v>
      </c>
      <c r="P15" s="194">
        <v>1</v>
      </c>
      <c r="Q15" s="194">
        <v>0.66700000000000004</v>
      </c>
      <c r="R15" s="194">
        <v>1</v>
      </c>
      <c r="S15" s="194">
        <v>3</v>
      </c>
      <c r="T15" s="194">
        <v>0.875</v>
      </c>
      <c r="U15" s="194">
        <v>0.5</v>
      </c>
      <c r="V15" s="194">
        <v>2</v>
      </c>
      <c r="W15" s="194">
        <v>0.875</v>
      </c>
      <c r="X15" s="194">
        <v>1</v>
      </c>
      <c r="Y15" s="194">
        <v>3</v>
      </c>
      <c r="Z15" s="194">
        <v>0.92900000000000005</v>
      </c>
      <c r="AA15" s="194">
        <v>1</v>
      </c>
      <c r="AB15" s="194">
        <v>3</v>
      </c>
      <c r="AC15" s="194">
        <v>0.64</v>
      </c>
      <c r="AD15" s="194">
        <v>0.875</v>
      </c>
      <c r="AE15" s="194">
        <v>8</v>
      </c>
      <c r="AF15" s="194">
        <v>0.64</v>
      </c>
      <c r="AG15" s="194">
        <v>0.42899999999999999</v>
      </c>
      <c r="AH15" s="194">
        <v>14</v>
      </c>
      <c r="AI15" s="194">
        <v>0.52900000000000003</v>
      </c>
      <c r="AJ15" s="194">
        <v>1</v>
      </c>
      <c r="AK15" s="194">
        <v>3</v>
      </c>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row>
    <row r="16" spans="1:61" x14ac:dyDescent="0.3">
      <c r="A16" s="193" t="s">
        <v>494</v>
      </c>
      <c r="B16" s="194">
        <v>0.9</v>
      </c>
      <c r="C16" s="194">
        <v>0.83299999999999996</v>
      </c>
      <c r="D16" s="194">
        <v>6</v>
      </c>
      <c r="E16" s="194">
        <v>0.875</v>
      </c>
      <c r="F16" s="194">
        <v>1</v>
      </c>
      <c r="G16" s="194">
        <v>4</v>
      </c>
      <c r="H16" s="194">
        <v>0.83299999999999996</v>
      </c>
      <c r="I16" s="194">
        <v>0.83299999999999996</v>
      </c>
      <c r="J16" s="194">
        <v>6</v>
      </c>
      <c r="K16" s="194">
        <v>0.875</v>
      </c>
      <c r="L16" s="194">
        <v>0.5</v>
      </c>
      <c r="M16" s="194">
        <v>2</v>
      </c>
      <c r="N16" s="194">
        <v>0.93799999999999994</v>
      </c>
      <c r="O16" s="194">
        <v>1</v>
      </c>
      <c r="P16" s="194">
        <v>8</v>
      </c>
      <c r="Q16" s="194">
        <v>1</v>
      </c>
      <c r="R16" s="194">
        <v>1</v>
      </c>
      <c r="S16" s="194">
        <v>6</v>
      </c>
      <c r="T16" s="194">
        <v>0.95199999999999996</v>
      </c>
      <c r="U16" s="194">
        <v>1</v>
      </c>
      <c r="V16" s="194">
        <v>5</v>
      </c>
      <c r="W16" s="194">
        <v>0.85699999999999998</v>
      </c>
      <c r="X16" s="194">
        <v>0.9</v>
      </c>
      <c r="Y16" s="194">
        <v>10</v>
      </c>
      <c r="Z16" s="194">
        <v>0.70399999999999996</v>
      </c>
      <c r="AA16" s="194">
        <v>0.66700000000000004</v>
      </c>
      <c r="AB16" s="194">
        <v>6</v>
      </c>
      <c r="AC16" s="194">
        <v>0.66700000000000004</v>
      </c>
      <c r="AD16" s="194">
        <v>0.54500000000000004</v>
      </c>
      <c r="AE16" s="194">
        <v>11</v>
      </c>
      <c r="AF16" s="194">
        <v>0.64300000000000002</v>
      </c>
      <c r="AG16" s="194">
        <v>0.8</v>
      </c>
      <c r="AH16" s="194">
        <v>10</v>
      </c>
      <c r="AI16" s="194">
        <v>0.70599999999999996</v>
      </c>
      <c r="AJ16" s="194">
        <v>0.57099999999999995</v>
      </c>
      <c r="AK16" s="194">
        <v>7</v>
      </c>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row>
    <row r="17" spans="1:61" x14ac:dyDescent="0.3">
      <c r="A17" s="193" t="s">
        <v>386</v>
      </c>
      <c r="B17" s="194">
        <v>1</v>
      </c>
      <c r="C17" s="194">
        <v>1</v>
      </c>
      <c r="D17" s="194">
        <v>8</v>
      </c>
      <c r="E17" s="194">
        <v>0.91700000000000004</v>
      </c>
      <c r="F17" s="194">
        <v>1</v>
      </c>
      <c r="G17" s="194">
        <v>9</v>
      </c>
      <c r="H17" s="194">
        <v>0.76900000000000002</v>
      </c>
      <c r="I17" s="194">
        <v>0.71399999999999997</v>
      </c>
      <c r="J17" s="194">
        <v>7</v>
      </c>
      <c r="K17" s="194">
        <v>0.76700000000000002</v>
      </c>
      <c r="L17" s="194">
        <v>0.6</v>
      </c>
      <c r="M17" s="194">
        <v>10</v>
      </c>
      <c r="N17" s="194">
        <v>0.75800000000000001</v>
      </c>
      <c r="O17" s="194">
        <v>0.92300000000000004</v>
      </c>
      <c r="P17" s="194">
        <v>13</v>
      </c>
      <c r="Q17" s="194">
        <v>0.85299999999999998</v>
      </c>
      <c r="R17" s="194">
        <v>0.7</v>
      </c>
      <c r="S17" s="194">
        <v>10</v>
      </c>
      <c r="T17" s="194">
        <v>0.86699999999999999</v>
      </c>
      <c r="U17" s="194">
        <v>0.90900000000000003</v>
      </c>
      <c r="V17" s="194">
        <v>11</v>
      </c>
      <c r="W17" s="194">
        <v>0.85299999999999998</v>
      </c>
      <c r="X17" s="194">
        <v>1</v>
      </c>
      <c r="Y17" s="194">
        <v>9</v>
      </c>
      <c r="Z17" s="194">
        <v>0.80600000000000005</v>
      </c>
      <c r="AA17" s="194">
        <v>0.71399999999999997</v>
      </c>
      <c r="AB17" s="194">
        <v>14</v>
      </c>
      <c r="AC17" s="194">
        <v>0.75700000000000001</v>
      </c>
      <c r="AD17" s="194">
        <v>0.76900000000000002</v>
      </c>
      <c r="AE17" s="194">
        <v>13</v>
      </c>
      <c r="AF17" s="194">
        <v>0.76200000000000001</v>
      </c>
      <c r="AG17" s="194">
        <v>0.8</v>
      </c>
      <c r="AH17" s="194">
        <v>10</v>
      </c>
      <c r="AI17" s="194">
        <v>0.75900000000000001</v>
      </c>
      <c r="AJ17" s="194">
        <v>0.73699999999999999</v>
      </c>
      <c r="AK17" s="194">
        <v>19</v>
      </c>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row>
    <row r="18" spans="1:61" x14ac:dyDescent="0.3">
      <c r="A18" s="193" t="s">
        <v>333</v>
      </c>
      <c r="B18" s="194">
        <v>0.85699999999999998</v>
      </c>
      <c r="C18" s="194">
        <v>1</v>
      </c>
      <c r="D18" s="194">
        <v>12</v>
      </c>
      <c r="E18" s="194">
        <v>0.9</v>
      </c>
      <c r="F18" s="194">
        <v>0.66700000000000004</v>
      </c>
      <c r="G18" s="194">
        <v>9</v>
      </c>
      <c r="H18" s="194">
        <v>0.88900000000000001</v>
      </c>
      <c r="I18" s="194">
        <v>1</v>
      </c>
      <c r="J18" s="194">
        <v>9</v>
      </c>
      <c r="K18" s="194">
        <v>1</v>
      </c>
      <c r="L18" s="194">
        <v>1</v>
      </c>
      <c r="M18" s="194">
        <v>9</v>
      </c>
      <c r="N18" s="194">
        <v>0.93300000000000005</v>
      </c>
      <c r="O18" s="194">
        <v>1</v>
      </c>
      <c r="P18" s="194">
        <v>11</v>
      </c>
      <c r="Q18" s="194">
        <v>0.91200000000000003</v>
      </c>
      <c r="R18" s="194">
        <v>0.8</v>
      </c>
      <c r="S18" s="194">
        <v>10</v>
      </c>
      <c r="T18" s="194">
        <v>0.879</v>
      </c>
      <c r="U18" s="194">
        <v>0.92300000000000004</v>
      </c>
      <c r="V18" s="194">
        <v>13</v>
      </c>
      <c r="W18" s="194">
        <v>0.85699999999999998</v>
      </c>
      <c r="X18" s="194">
        <v>0.9</v>
      </c>
      <c r="Y18" s="194">
        <v>10</v>
      </c>
      <c r="Z18" s="194">
        <v>0.84799999999999998</v>
      </c>
      <c r="AA18" s="194">
        <v>0.75</v>
      </c>
      <c r="AB18" s="194">
        <v>12</v>
      </c>
      <c r="AC18" s="194">
        <v>0.75700000000000001</v>
      </c>
      <c r="AD18" s="194">
        <v>0.90900000000000003</v>
      </c>
      <c r="AE18" s="194">
        <v>11</v>
      </c>
      <c r="AF18" s="194">
        <v>0.70599999999999996</v>
      </c>
      <c r="AG18" s="194">
        <v>0.64300000000000002</v>
      </c>
      <c r="AH18" s="194">
        <v>14</v>
      </c>
      <c r="AI18" s="194">
        <v>0.60899999999999999</v>
      </c>
      <c r="AJ18" s="194">
        <v>0.55600000000000005</v>
      </c>
      <c r="AK18" s="194">
        <v>9</v>
      </c>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row>
    <row r="19" spans="1:61" x14ac:dyDescent="0.3">
      <c r="A19" s="193" t="s">
        <v>536</v>
      </c>
      <c r="B19" s="194">
        <v>0.66700000000000004</v>
      </c>
      <c r="C19" s="194">
        <v>0.75</v>
      </c>
      <c r="D19" s="194">
        <v>4</v>
      </c>
      <c r="E19" s="194">
        <v>0.7</v>
      </c>
      <c r="F19" s="194">
        <v>0.625</v>
      </c>
      <c r="G19" s="194">
        <v>8</v>
      </c>
      <c r="H19" s="194">
        <v>0.71399999999999997</v>
      </c>
      <c r="I19" s="194">
        <v>0.75</v>
      </c>
      <c r="J19" s="194">
        <v>8</v>
      </c>
      <c r="K19" s="194">
        <v>0.75</v>
      </c>
      <c r="L19" s="194">
        <v>0.8</v>
      </c>
      <c r="M19" s="194">
        <v>5</v>
      </c>
      <c r="N19" s="194">
        <v>0.84199999999999997</v>
      </c>
      <c r="O19" s="194">
        <v>0.71399999999999997</v>
      </c>
      <c r="P19" s="194">
        <v>7</v>
      </c>
      <c r="Q19" s="194">
        <v>0.82599999999999996</v>
      </c>
      <c r="R19" s="194">
        <v>1</v>
      </c>
      <c r="S19" s="194">
        <v>7</v>
      </c>
      <c r="T19" s="194">
        <v>0.86399999999999999</v>
      </c>
      <c r="U19" s="194">
        <v>0.77800000000000002</v>
      </c>
      <c r="V19" s="194">
        <v>9</v>
      </c>
      <c r="W19" s="194">
        <v>0.85</v>
      </c>
      <c r="X19" s="194">
        <v>0.83299999999999996</v>
      </c>
      <c r="Y19" s="194">
        <v>6</v>
      </c>
      <c r="Z19" s="194">
        <v>0.91700000000000004</v>
      </c>
      <c r="AA19" s="194">
        <v>1</v>
      </c>
      <c r="AB19" s="194">
        <v>5</v>
      </c>
      <c r="AC19" s="194">
        <v>1</v>
      </c>
      <c r="AD19" s="194">
        <v>1</v>
      </c>
      <c r="AE19" s="194">
        <v>1</v>
      </c>
      <c r="AF19" s="194">
        <v>1</v>
      </c>
      <c r="AG19" s="194">
        <v>1</v>
      </c>
      <c r="AH19" s="194">
        <v>1</v>
      </c>
      <c r="AI19" s="194">
        <v>1</v>
      </c>
      <c r="AJ19" s="194">
        <v>1</v>
      </c>
      <c r="AK19" s="194">
        <v>2</v>
      </c>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row>
    <row r="20" spans="1:61" x14ac:dyDescent="0.3">
      <c r="A20" s="193" t="s">
        <v>544</v>
      </c>
      <c r="B20" s="194">
        <v>0.95499999999999996</v>
      </c>
      <c r="C20" s="194">
        <v>0.93799999999999994</v>
      </c>
      <c r="D20" s="194">
        <v>16</v>
      </c>
      <c r="E20" s="194">
        <v>0.96799999999999997</v>
      </c>
      <c r="F20" s="194">
        <v>0.96399999999999997</v>
      </c>
      <c r="G20" s="194">
        <v>28</v>
      </c>
      <c r="H20" s="194">
        <v>0.97</v>
      </c>
      <c r="I20" s="194">
        <v>1</v>
      </c>
      <c r="J20" s="194">
        <v>19</v>
      </c>
      <c r="K20" s="194">
        <v>0.94299999999999995</v>
      </c>
      <c r="L20" s="194">
        <v>0.95</v>
      </c>
      <c r="M20" s="194">
        <v>20</v>
      </c>
      <c r="N20" s="194">
        <v>0.93600000000000005</v>
      </c>
      <c r="O20" s="194">
        <v>0.90300000000000002</v>
      </c>
      <c r="P20" s="194">
        <v>31</v>
      </c>
      <c r="Q20" s="194">
        <v>0.94</v>
      </c>
      <c r="R20" s="194">
        <v>0.96299999999999997</v>
      </c>
      <c r="S20" s="194">
        <v>27</v>
      </c>
      <c r="T20" s="194">
        <v>0.95799999999999996</v>
      </c>
      <c r="U20" s="194">
        <v>0.96199999999999997</v>
      </c>
      <c r="V20" s="194">
        <v>26</v>
      </c>
      <c r="W20" s="194">
        <v>0.92300000000000004</v>
      </c>
      <c r="X20" s="194">
        <v>0.94699999999999995</v>
      </c>
      <c r="Y20" s="194">
        <v>19</v>
      </c>
      <c r="Z20" s="194">
        <v>0.82299999999999995</v>
      </c>
      <c r="AA20" s="194">
        <v>0.85</v>
      </c>
      <c r="AB20" s="194">
        <v>20</v>
      </c>
      <c r="AC20" s="194">
        <v>0.75700000000000001</v>
      </c>
      <c r="AD20" s="194">
        <v>0.69599999999999995</v>
      </c>
      <c r="AE20" s="194">
        <v>23</v>
      </c>
      <c r="AF20" s="194">
        <v>0.78500000000000003</v>
      </c>
      <c r="AG20" s="194">
        <v>0.74099999999999999</v>
      </c>
      <c r="AH20" s="194">
        <v>27</v>
      </c>
      <c r="AI20" s="194">
        <v>0.82099999999999995</v>
      </c>
      <c r="AJ20" s="194">
        <v>0.89700000000000002</v>
      </c>
      <c r="AK20" s="194">
        <v>29</v>
      </c>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row>
    <row r="21" spans="1:61" x14ac:dyDescent="0.3">
      <c r="A21" s="193" t="s">
        <v>480</v>
      </c>
      <c r="B21" s="194">
        <v>0.89500000000000002</v>
      </c>
      <c r="C21" s="194">
        <v>0.91300000000000003</v>
      </c>
      <c r="D21" s="194">
        <v>23</v>
      </c>
      <c r="E21" s="194">
        <v>0.89100000000000001</v>
      </c>
      <c r="F21" s="194">
        <v>0.86699999999999999</v>
      </c>
      <c r="G21" s="194">
        <v>15</v>
      </c>
      <c r="H21" s="194">
        <v>0.88200000000000001</v>
      </c>
      <c r="I21" s="194">
        <v>0.88200000000000001</v>
      </c>
      <c r="J21" s="194">
        <v>17</v>
      </c>
      <c r="K21" s="194">
        <v>0.85699999999999998</v>
      </c>
      <c r="L21" s="194">
        <v>0.89500000000000002</v>
      </c>
      <c r="M21" s="194">
        <v>19</v>
      </c>
      <c r="N21" s="194">
        <v>0.871</v>
      </c>
      <c r="O21" s="194">
        <v>0.81499999999999995</v>
      </c>
      <c r="P21" s="194">
        <v>27</v>
      </c>
      <c r="Q21" s="194">
        <v>0.86099999999999999</v>
      </c>
      <c r="R21" s="194">
        <v>0.91700000000000004</v>
      </c>
      <c r="S21" s="194">
        <v>24</v>
      </c>
      <c r="T21" s="194">
        <v>0.871</v>
      </c>
      <c r="U21" s="194">
        <v>0.85699999999999998</v>
      </c>
      <c r="V21" s="194">
        <v>21</v>
      </c>
      <c r="W21" s="194">
        <v>0.79400000000000004</v>
      </c>
      <c r="X21" s="194">
        <v>0.82399999999999995</v>
      </c>
      <c r="Y21" s="194">
        <v>17</v>
      </c>
      <c r="Z21" s="194">
        <v>0.73499999999999999</v>
      </c>
      <c r="AA21" s="194">
        <v>0.72</v>
      </c>
      <c r="AB21" s="194">
        <v>25</v>
      </c>
      <c r="AC21" s="194">
        <v>0.74</v>
      </c>
      <c r="AD21" s="194">
        <v>0.69199999999999995</v>
      </c>
      <c r="AE21" s="194">
        <v>26</v>
      </c>
      <c r="AF21" s="194">
        <v>0.76200000000000001</v>
      </c>
      <c r="AG21" s="194">
        <v>0.81799999999999995</v>
      </c>
      <c r="AH21" s="194">
        <v>22</v>
      </c>
      <c r="AI21" s="194">
        <v>0.79600000000000004</v>
      </c>
      <c r="AJ21" s="194">
        <v>0.78100000000000003</v>
      </c>
      <c r="AK21" s="194">
        <v>32</v>
      </c>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row>
    <row r="22" spans="1:61" x14ac:dyDescent="0.3">
      <c r="A22" s="193" t="s">
        <v>408</v>
      </c>
      <c r="B22" s="194">
        <v>0.875</v>
      </c>
      <c r="C22" s="194">
        <v>0.75</v>
      </c>
      <c r="D22" s="194">
        <v>8</v>
      </c>
      <c r="E22" s="194">
        <v>0.91300000000000003</v>
      </c>
      <c r="F22" s="194">
        <v>1</v>
      </c>
      <c r="G22" s="194">
        <v>8</v>
      </c>
      <c r="H22" s="194">
        <v>1</v>
      </c>
      <c r="I22" s="194">
        <v>1</v>
      </c>
      <c r="J22" s="194">
        <v>7</v>
      </c>
      <c r="K22" s="194">
        <v>0.87</v>
      </c>
      <c r="L22" s="194">
        <v>1</v>
      </c>
      <c r="M22" s="194">
        <v>4</v>
      </c>
      <c r="N22" s="194">
        <v>0.81799999999999995</v>
      </c>
      <c r="O22" s="194">
        <v>0.75</v>
      </c>
      <c r="P22" s="194">
        <v>12</v>
      </c>
      <c r="Q22" s="194">
        <v>0.8</v>
      </c>
      <c r="R22" s="194">
        <v>0.83299999999999996</v>
      </c>
      <c r="S22" s="194">
        <v>6</v>
      </c>
      <c r="T22" s="194">
        <v>0.89500000000000002</v>
      </c>
      <c r="U22" s="194">
        <v>0.85699999999999998</v>
      </c>
      <c r="V22" s="194">
        <v>7</v>
      </c>
      <c r="W22" s="194">
        <v>0.74099999999999999</v>
      </c>
      <c r="X22" s="194">
        <v>1</v>
      </c>
      <c r="Y22" s="194">
        <v>6</v>
      </c>
      <c r="Z22" s="194">
        <v>0.69</v>
      </c>
      <c r="AA22" s="194">
        <v>0.57099999999999995</v>
      </c>
      <c r="AB22" s="194">
        <v>14</v>
      </c>
      <c r="AC22" s="194">
        <v>0.69</v>
      </c>
      <c r="AD22" s="194">
        <v>0.66700000000000004</v>
      </c>
      <c r="AE22" s="194">
        <v>9</v>
      </c>
      <c r="AF22" s="194">
        <v>0.65400000000000003</v>
      </c>
      <c r="AG22" s="194">
        <v>1</v>
      </c>
      <c r="AH22" s="194">
        <v>6</v>
      </c>
      <c r="AI22" s="194">
        <v>0.64700000000000002</v>
      </c>
      <c r="AJ22" s="194">
        <v>0.45500000000000002</v>
      </c>
      <c r="AK22" s="194">
        <v>11</v>
      </c>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row>
    <row r="23" spans="1:61" x14ac:dyDescent="0.3">
      <c r="A23" s="193" t="s">
        <v>488</v>
      </c>
      <c r="B23" s="194">
        <v>0.182</v>
      </c>
      <c r="C23" s="194">
        <v>0</v>
      </c>
      <c r="D23" s="194">
        <v>3</v>
      </c>
      <c r="E23" s="194">
        <v>0.25</v>
      </c>
      <c r="F23" s="194">
        <v>0.25</v>
      </c>
      <c r="G23" s="194">
        <v>8</v>
      </c>
      <c r="H23" s="194">
        <v>0.35299999999999998</v>
      </c>
      <c r="I23" s="194">
        <v>0.4</v>
      </c>
      <c r="J23" s="194">
        <v>5</v>
      </c>
      <c r="K23" s="194">
        <v>0.35699999999999998</v>
      </c>
      <c r="L23" s="194">
        <v>0.5</v>
      </c>
      <c r="M23" s="194">
        <v>4</v>
      </c>
      <c r="N23" s="194">
        <v>0.28599999999999998</v>
      </c>
      <c r="O23" s="194">
        <v>0.2</v>
      </c>
      <c r="P23" s="194">
        <v>5</v>
      </c>
      <c r="Q23" s="194">
        <v>0.154</v>
      </c>
      <c r="R23" s="194">
        <v>0.2</v>
      </c>
      <c r="S23" s="194">
        <v>5</v>
      </c>
      <c r="T23" s="194">
        <v>0.13300000000000001</v>
      </c>
      <c r="U23" s="194">
        <v>0</v>
      </c>
      <c r="V23" s="194">
        <v>3</v>
      </c>
      <c r="W23" s="194">
        <v>8.3000000000000004E-2</v>
      </c>
      <c r="X23" s="194">
        <v>0.14299999999999999</v>
      </c>
      <c r="Y23" s="194">
        <v>7</v>
      </c>
      <c r="Z23" s="194">
        <v>4.8000000000000001E-2</v>
      </c>
      <c r="AA23" s="194">
        <v>0</v>
      </c>
      <c r="AB23" s="194">
        <v>2</v>
      </c>
      <c r="AC23" s="194">
        <v>4.8000000000000001E-2</v>
      </c>
      <c r="AD23" s="194">
        <v>0</v>
      </c>
      <c r="AE23" s="194">
        <v>12</v>
      </c>
      <c r="AF23" s="194">
        <v>0.05</v>
      </c>
      <c r="AG23" s="194">
        <v>0.14299999999999999</v>
      </c>
      <c r="AH23" s="194">
        <v>7</v>
      </c>
      <c r="AI23" s="194">
        <v>0.125</v>
      </c>
      <c r="AJ23" s="194">
        <v>0</v>
      </c>
      <c r="AK23" s="194">
        <v>1</v>
      </c>
      <c r="AL23" s="140"/>
      <c r="AM23" s="140"/>
      <c r="AN23" s="140"/>
      <c r="AO23" s="140"/>
      <c r="AP23" s="140"/>
      <c r="AQ23" s="140"/>
      <c r="AR23" s="140"/>
      <c r="AS23" s="140"/>
      <c r="AT23" s="140"/>
      <c r="AU23" s="140"/>
      <c r="AV23" s="140"/>
      <c r="AW23" s="140"/>
      <c r="AX23" s="140"/>
      <c r="AY23" s="140"/>
      <c r="AZ23" s="140"/>
      <c r="BA23" s="140"/>
      <c r="BB23" s="140"/>
      <c r="BC23" s="140"/>
      <c r="BD23" s="140"/>
      <c r="BE23" s="140"/>
      <c r="BF23" s="140"/>
      <c r="BG23" s="140"/>
      <c r="BH23" s="140"/>
      <c r="BI23" s="140"/>
    </row>
    <row r="24" spans="1:61" x14ac:dyDescent="0.3">
      <c r="A24" s="193" t="s">
        <v>284</v>
      </c>
      <c r="B24" s="194">
        <v>0.65700000000000003</v>
      </c>
      <c r="C24" s="194">
        <v>0.8</v>
      </c>
      <c r="D24" s="194">
        <v>20</v>
      </c>
      <c r="E24" s="194">
        <v>0.745</v>
      </c>
      <c r="F24" s="194">
        <v>0.46700000000000003</v>
      </c>
      <c r="G24" s="194">
        <v>15</v>
      </c>
      <c r="H24" s="194">
        <v>0.78600000000000003</v>
      </c>
      <c r="I24" s="194">
        <v>1</v>
      </c>
      <c r="J24" s="194">
        <v>12</v>
      </c>
      <c r="K24" s="194">
        <v>0.86399999999999999</v>
      </c>
      <c r="L24" s="194">
        <v>0.93300000000000005</v>
      </c>
      <c r="M24" s="194">
        <v>15</v>
      </c>
      <c r="N24" s="194">
        <v>0.76</v>
      </c>
      <c r="O24" s="194">
        <v>0.70599999999999996</v>
      </c>
      <c r="P24" s="194">
        <v>17</v>
      </c>
      <c r="Q24" s="194">
        <v>0.745</v>
      </c>
      <c r="R24" s="194">
        <v>0.66700000000000004</v>
      </c>
      <c r="S24" s="194">
        <v>18</v>
      </c>
      <c r="T24" s="194">
        <v>0.76</v>
      </c>
      <c r="U24" s="194">
        <v>0.875</v>
      </c>
      <c r="V24" s="194">
        <v>16</v>
      </c>
      <c r="W24" s="194">
        <v>0.76</v>
      </c>
      <c r="X24" s="194">
        <v>0.75</v>
      </c>
      <c r="Y24" s="194">
        <v>16</v>
      </c>
      <c r="Z24" s="194">
        <v>0.68300000000000005</v>
      </c>
      <c r="AA24" s="194">
        <v>0.66700000000000004</v>
      </c>
      <c r="AB24" s="194">
        <v>18</v>
      </c>
      <c r="AC24" s="194">
        <v>0.63600000000000001</v>
      </c>
      <c r="AD24" s="194">
        <v>0.65500000000000003</v>
      </c>
      <c r="AE24" s="194">
        <v>29</v>
      </c>
      <c r="AF24" s="194">
        <v>0.69</v>
      </c>
      <c r="AG24" s="194">
        <v>0.6</v>
      </c>
      <c r="AH24" s="194">
        <v>30</v>
      </c>
      <c r="AI24" s="194">
        <v>0.70699999999999996</v>
      </c>
      <c r="AJ24" s="194">
        <v>0.82099999999999995</v>
      </c>
      <c r="AK24" s="194">
        <v>28</v>
      </c>
      <c r="AL24" s="140"/>
      <c r="AM24" s="140"/>
      <c r="AN24" s="140"/>
      <c r="AO24" s="140"/>
      <c r="AP24" s="140"/>
      <c r="AQ24" s="140"/>
      <c r="AR24" s="140"/>
      <c r="AS24" s="140"/>
      <c r="AT24" s="140"/>
      <c r="AU24" s="140"/>
      <c r="AV24" s="140"/>
      <c r="AW24" s="140"/>
      <c r="AX24" s="140"/>
      <c r="AY24" s="140"/>
      <c r="AZ24" s="140"/>
      <c r="BA24" s="140"/>
      <c r="BB24" s="140"/>
      <c r="BC24" s="140"/>
      <c r="BD24" s="140"/>
      <c r="BE24" s="140"/>
      <c r="BF24" s="140"/>
      <c r="BG24" s="140"/>
      <c r="BH24" s="140"/>
      <c r="BI24" s="140"/>
    </row>
    <row r="25" spans="1:61" x14ac:dyDescent="0.3">
      <c r="A25" s="193" t="s">
        <v>554</v>
      </c>
      <c r="B25" s="194">
        <v>0.92100000000000004</v>
      </c>
      <c r="C25" s="194">
        <v>0.85199999999999998</v>
      </c>
      <c r="D25" s="194">
        <v>27</v>
      </c>
      <c r="E25" s="194">
        <v>0.95099999999999996</v>
      </c>
      <c r="F25" s="194">
        <v>0.97199999999999998</v>
      </c>
      <c r="G25" s="194">
        <v>36</v>
      </c>
      <c r="H25" s="194">
        <v>0.97399999999999998</v>
      </c>
      <c r="I25" s="194">
        <v>1</v>
      </c>
      <c r="J25" s="194">
        <v>39</v>
      </c>
      <c r="K25" s="194">
        <v>0.96899999999999997</v>
      </c>
      <c r="L25" s="194">
        <v>0.95199999999999996</v>
      </c>
      <c r="M25" s="194">
        <v>42</v>
      </c>
      <c r="N25" s="194">
        <v>0.95299999999999996</v>
      </c>
      <c r="O25" s="194">
        <v>0.94099999999999995</v>
      </c>
      <c r="P25" s="194">
        <v>17</v>
      </c>
      <c r="Q25" s="194">
        <v>0.96099999999999997</v>
      </c>
      <c r="R25" s="194">
        <v>0.95799999999999996</v>
      </c>
      <c r="S25" s="194">
        <v>48</v>
      </c>
      <c r="T25" s="194">
        <v>0.94399999999999995</v>
      </c>
      <c r="U25" s="194">
        <v>0.97399999999999998</v>
      </c>
      <c r="V25" s="194">
        <v>38</v>
      </c>
      <c r="W25" s="194">
        <v>0.85399999999999998</v>
      </c>
      <c r="X25" s="194">
        <v>0.89500000000000002</v>
      </c>
      <c r="Y25" s="194">
        <v>38</v>
      </c>
      <c r="Z25" s="194">
        <v>0.80700000000000005</v>
      </c>
      <c r="AA25" s="194">
        <v>0.74099999999999999</v>
      </c>
      <c r="AB25" s="194">
        <v>54</v>
      </c>
      <c r="AC25" s="194">
        <v>0.75700000000000001</v>
      </c>
      <c r="AD25" s="194">
        <v>0.81299999999999994</v>
      </c>
      <c r="AE25" s="194">
        <v>48</v>
      </c>
      <c r="AF25" s="194">
        <v>0.77900000000000003</v>
      </c>
      <c r="AG25" s="194">
        <v>0.72</v>
      </c>
      <c r="AH25" s="194">
        <v>50</v>
      </c>
      <c r="AI25" s="194">
        <v>0.76100000000000001</v>
      </c>
      <c r="AJ25" s="194">
        <v>0.81</v>
      </c>
      <c r="AK25" s="194">
        <v>42</v>
      </c>
      <c r="AL25" s="140"/>
      <c r="AM25" s="140"/>
      <c r="AN25" s="140"/>
      <c r="AO25" s="140"/>
      <c r="AP25" s="140"/>
      <c r="AQ25" s="140"/>
      <c r="AR25" s="140"/>
      <c r="AS25" s="140"/>
      <c r="AT25" s="140"/>
      <c r="AU25" s="140"/>
      <c r="AV25" s="140"/>
      <c r="AW25" s="140"/>
      <c r="AX25" s="140"/>
      <c r="AY25" s="140"/>
      <c r="AZ25" s="140"/>
      <c r="BA25" s="140"/>
      <c r="BB25" s="140"/>
      <c r="BC25" s="140"/>
      <c r="BD25" s="140"/>
      <c r="BE25" s="140"/>
      <c r="BF25" s="140"/>
      <c r="BG25" s="140"/>
      <c r="BH25" s="140"/>
      <c r="BI25" s="140"/>
    </row>
    <row r="26" spans="1:61" x14ac:dyDescent="0.3">
      <c r="A26" s="193" t="s">
        <v>369</v>
      </c>
      <c r="B26" s="194">
        <v>1</v>
      </c>
      <c r="C26" s="194">
        <v>1</v>
      </c>
      <c r="D26" s="194">
        <v>10</v>
      </c>
      <c r="E26" s="194">
        <v>0.96599999999999997</v>
      </c>
      <c r="F26" s="194">
        <v>1</v>
      </c>
      <c r="G26" s="194">
        <v>9</v>
      </c>
      <c r="H26" s="194">
        <v>0.91700000000000004</v>
      </c>
      <c r="I26" s="194">
        <v>0.9</v>
      </c>
      <c r="J26" s="194">
        <v>10</v>
      </c>
      <c r="K26" s="194">
        <v>0.82099999999999995</v>
      </c>
      <c r="L26" s="194">
        <v>0.8</v>
      </c>
      <c r="M26" s="194">
        <v>5</v>
      </c>
      <c r="N26" s="194">
        <v>0.76900000000000002</v>
      </c>
      <c r="O26" s="194">
        <v>0.76900000000000002</v>
      </c>
      <c r="P26" s="194">
        <v>13</v>
      </c>
      <c r="Q26" s="194">
        <v>0.81499999999999995</v>
      </c>
      <c r="R26" s="194">
        <v>0.75</v>
      </c>
      <c r="S26" s="194">
        <v>8</v>
      </c>
      <c r="T26" s="194">
        <v>0.81499999999999995</v>
      </c>
      <c r="U26" s="194">
        <v>1</v>
      </c>
      <c r="V26" s="194">
        <v>6</v>
      </c>
      <c r="W26" s="194">
        <v>0.76900000000000002</v>
      </c>
      <c r="X26" s="194">
        <v>0.76900000000000002</v>
      </c>
      <c r="Y26" s="194">
        <v>13</v>
      </c>
      <c r="Z26" s="194">
        <v>0.7</v>
      </c>
      <c r="AA26" s="194">
        <v>0.57099999999999995</v>
      </c>
      <c r="AB26" s="194">
        <v>7</v>
      </c>
      <c r="AC26" s="194">
        <v>0.73899999999999999</v>
      </c>
      <c r="AD26" s="194">
        <v>0.7</v>
      </c>
      <c r="AE26" s="194">
        <v>10</v>
      </c>
      <c r="AF26" s="194">
        <v>0.73099999999999998</v>
      </c>
      <c r="AG26" s="194">
        <v>1</v>
      </c>
      <c r="AH26" s="194">
        <v>6</v>
      </c>
      <c r="AI26" s="194">
        <v>0.75</v>
      </c>
      <c r="AJ26" s="194">
        <v>0.6</v>
      </c>
      <c r="AK26" s="194">
        <v>10</v>
      </c>
      <c r="AL26" s="140"/>
      <c r="AM26" s="140"/>
      <c r="AN26" s="140"/>
      <c r="AO26" s="140"/>
      <c r="AP26" s="140"/>
      <c r="AQ26" s="140"/>
      <c r="AR26" s="140"/>
      <c r="AS26" s="140"/>
      <c r="AT26" s="140"/>
      <c r="AU26" s="140"/>
      <c r="AV26" s="140"/>
      <c r="AW26" s="140"/>
      <c r="AX26" s="140"/>
      <c r="AY26" s="140"/>
      <c r="AZ26" s="140"/>
      <c r="BA26" s="140"/>
      <c r="BB26" s="140"/>
      <c r="BC26" s="140"/>
      <c r="BD26" s="140"/>
      <c r="BE26" s="140"/>
      <c r="BF26" s="140"/>
      <c r="BG26" s="140"/>
      <c r="BH26" s="140"/>
      <c r="BI26" s="140"/>
    </row>
    <row r="27" spans="1:61" x14ac:dyDescent="0.3">
      <c r="A27" s="193" t="s">
        <v>262</v>
      </c>
      <c r="B27" s="194">
        <v>0.75</v>
      </c>
      <c r="C27" s="194">
        <v>0.71399999999999997</v>
      </c>
      <c r="D27" s="194">
        <v>7</v>
      </c>
      <c r="E27" s="194">
        <v>0.78300000000000003</v>
      </c>
      <c r="F27" s="194">
        <v>0.76900000000000002</v>
      </c>
      <c r="G27" s="194">
        <v>13</v>
      </c>
      <c r="H27" s="194">
        <v>0.84</v>
      </c>
      <c r="I27" s="194">
        <v>1</v>
      </c>
      <c r="J27" s="194">
        <v>3</v>
      </c>
      <c r="K27" s="194">
        <v>0.95199999999999996</v>
      </c>
      <c r="L27" s="194">
        <v>0.88900000000000001</v>
      </c>
      <c r="M27" s="194">
        <v>9</v>
      </c>
      <c r="N27" s="194">
        <v>0.92900000000000005</v>
      </c>
      <c r="O27" s="194">
        <v>1</v>
      </c>
      <c r="P27" s="194">
        <v>9</v>
      </c>
      <c r="Q27" s="194">
        <v>0.90300000000000002</v>
      </c>
      <c r="R27" s="194">
        <v>0.9</v>
      </c>
      <c r="S27" s="194">
        <v>10</v>
      </c>
      <c r="T27" s="194">
        <v>0.82799999999999996</v>
      </c>
      <c r="U27" s="194">
        <v>0.83299999999999996</v>
      </c>
      <c r="V27" s="194">
        <v>12</v>
      </c>
      <c r="W27" s="194">
        <v>0.78800000000000003</v>
      </c>
      <c r="X27" s="194">
        <v>0.71399999999999997</v>
      </c>
      <c r="Y27" s="194">
        <v>7</v>
      </c>
      <c r="Z27" s="194">
        <v>0.83899999999999997</v>
      </c>
      <c r="AA27" s="194">
        <v>0.78600000000000003</v>
      </c>
      <c r="AB27" s="194">
        <v>14</v>
      </c>
      <c r="AC27" s="194">
        <v>0.86799999999999999</v>
      </c>
      <c r="AD27" s="194">
        <v>1</v>
      </c>
      <c r="AE27" s="194">
        <v>10</v>
      </c>
      <c r="AF27" s="194">
        <v>0.89700000000000002</v>
      </c>
      <c r="AG27" s="194">
        <v>0.85699999999999998</v>
      </c>
      <c r="AH27" s="194">
        <v>14</v>
      </c>
      <c r="AI27" s="194">
        <v>0.84199999999999997</v>
      </c>
      <c r="AJ27" s="194">
        <v>0.8</v>
      </c>
      <c r="AK27" s="194">
        <v>5</v>
      </c>
      <c r="AL27" s="140"/>
      <c r="AM27" s="140"/>
      <c r="AN27" s="140"/>
      <c r="AO27" s="140"/>
      <c r="AP27" s="140"/>
      <c r="AQ27" s="140"/>
      <c r="AR27" s="140"/>
      <c r="AS27" s="140"/>
      <c r="AT27" s="140"/>
      <c r="AU27" s="140"/>
      <c r="AV27" s="140"/>
      <c r="AW27" s="140"/>
      <c r="AX27" s="140"/>
      <c r="AY27" s="140"/>
      <c r="AZ27" s="140"/>
      <c r="BA27" s="140"/>
      <c r="BB27" s="140"/>
      <c r="BC27" s="140"/>
      <c r="BD27" s="140"/>
      <c r="BE27" s="140"/>
      <c r="BF27" s="140"/>
      <c r="BG27" s="140"/>
      <c r="BH27" s="140"/>
      <c r="BI27" s="140"/>
    </row>
    <row r="28" spans="1:61" x14ac:dyDescent="0.3">
      <c r="A28" s="193" t="s">
        <v>500</v>
      </c>
      <c r="B28" s="194">
        <v>0.83299999999999996</v>
      </c>
      <c r="C28" s="194">
        <v>1</v>
      </c>
      <c r="D28" s="194">
        <v>5</v>
      </c>
      <c r="E28" s="194">
        <v>0.88200000000000001</v>
      </c>
      <c r="F28" s="194">
        <v>0.71399999999999997</v>
      </c>
      <c r="G28" s="194">
        <v>7</v>
      </c>
      <c r="H28" s="194">
        <v>0.85699999999999998</v>
      </c>
      <c r="I28" s="194">
        <v>1</v>
      </c>
      <c r="J28" s="194">
        <v>5</v>
      </c>
      <c r="K28" s="194">
        <v>1</v>
      </c>
      <c r="L28" s="194">
        <v>1</v>
      </c>
      <c r="M28" s="194">
        <v>2</v>
      </c>
      <c r="N28" s="194">
        <v>0.75</v>
      </c>
      <c r="O28" s="194">
        <v>1</v>
      </c>
      <c r="P28" s="194">
        <v>2</v>
      </c>
      <c r="Q28" s="194">
        <v>0.7</v>
      </c>
      <c r="R28" s="194">
        <v>0.5</v>
      </c>
      <c r="S28" s="194">
        <v>4</v>
      </c>
      <c r="T28" s="194">
        <v>0.65</v>
      </c>
      <c r="U28" s="194">
        <v>0.75</v>
      </c>
      <c r="V28" s="194">
        <v>4</v>
      </c>
      <c r="W28" s="194">
        <v>0.625</v>
      </c>
      <c r="X28" s="194">
        <v>0.66700000000000004</v>
      </c>
      <c r="Y28" s="194">
        <v>12</v>
      </c>
      <c r="Z28" s="194">
        <v>0.6</v>
      </c>
      <c r="AA28" s="194">
        <v>0.5</v>
      </c>
      <c r="AB28" s="194">
        <v>8</v>
      </c>
      <c r="AC28" s="194">
        <v>0.64700000000000002</v>
      </c>
      <c r="AD28" s="194">
        <v>0.6</v>
      </c>
      <c r="AE28" s="194">
        <v>5</v>
      </c>
      <c r="AF28" s="194">
        <v>0.76900000000000002</v>
      </c>
      <c r="AG28" s="194">
        <v>1</v>
      </c>
      <c r="AH28" s="194">
        <v>4</v>
      </c>
      <c r="AI28" s="194">
        <v>0.875</v>
      </c>
      <c r="AJ28" s="194">
        <v>0.75</v>
      </c>
      <c r="AK28" s="194">
        <v>4</v>
      </c>
      <c r="AL28" s="140"/>
      <c r="AM28" s="140"/>
      <c r="AN28" s="140"/>
      <c r="AO28" s="140"/>
      <c r="AP28" s="140"/>
      <c r="AQ28" s="140"/>
      <c r="AR28" s="140"/>
      <c r="AS28" s="140"/>
      <c r="AT28" s="140"/>
      <c r="AU28" s="140"/>
      <c r="AV28" s="140"/>
      <c r="AW28" s="140"/>
      <c r="AX28" s="140"/>
      <c r="AY28" s="140"/>
      <c r="AZ28" s="140"/>
      <c r="BA28" s="140"/>
      <c r="BB28" s="140"/>
      <c r="BC28" s="140"/>
      <c r="BD28" s="140"/>
      <c r="BE28" s="140"/>
      <c r="BF28" s="140"/>
      <c r="BG28" s="140"/>
      <c r="BH28" s="140"/>
      <c r="BI28" s="140"/>
    </row>
    <row r="29" spans="1:61" x14ac:dyDescent="0.3">
      <c r="A29" s="193" t="s">
        <v>454</v>
      </c>
      <c r="B29" s="194">
        <v>0.81799999999999995</v>
      </c>
      <c r="C29" s="194">
        <v>0.81299999999999994</v>
      </c>
      <c r="D29" s="194">
        <v>16</v>
      </c>
      <c r="E29" s="194">
        <v>0.871</v>
      </c>
      <c r="F29" s="194">
        <v>0.82099999999999995</v>
      </c>
      <c r="G29" s="194">
        <v>28</v>
      </c>
      <c r="H29" s="194">
        <v>0.89600000000000002</v>
      </c>
      <c r="I29" s="194">
        <v>0.96199999999999997</v>
      </c>
      <c r="J29" s="194">
        <v>26</v>
      </c>
      <c r="K29" s="194">
        <v>0.92500000000000004</v>
      </c>
      <c r="L29" s="194">
        <v>0.91300000000000003</v>
      </c>
      <c r="M29" s="194">
        <v>23</v>
      </c>
      <c r="N29" s="194">
        <v>0.91800000000000004</v>
      </c>
      <c r="O29" s="194">
        <v>0.88900000000000001</v>
      </c>
      <c r="P29" s="194">
        <v>18</v>
      </c>
      <c r="Q29" s="194">
        <v>0.93400000000000005</v>
      </c>
      <c r="R29" s="194">
        <v>0.95</v>
      </c>
      <c r="S29" s="194">
        <v>20</v>
      </c>
      <c r="T29" s="194">
        <v>0.92900000000000005</v>
      </c>
      <c r="U29" s="194">
        <v>0.95699999999999996</v>
      </c>
      <c r="V29" s="194">
        <v>23</v>
      </c>
      <c r="W29" s="194">
        <v>0.86899999999999999</v>
      </c>
      <c r="X29" s="194">
        <v>0.88900000000000001</v>
      </c>
      <c r="Y29" s="194">
        <v>27</v>
      </c>
      <c r="Z29" s="194">
        <v>0.82499999999999996</v>
      </c>
      <c r="AA29" s="194">
        <v>0.63600000000000001</v>
      </c>
      <c r="AB29" s="194">
        <v>11</v>
      </c>
      <c r="AC29" s="194">
        <v>0.71899999999999997</v>
      </c>
      <c r="AD29" s="194">
        <v>0.84199999999999997</v>
      </c>
      <c r="AE29" s="194">
        <v>19</v>
      </c>
      <c r="AF29" s="194">
        <v>0.70699999999999996</v>
      </c>
      <c r="AG29" s="194">
        <v>0.66700000000000004</v>
      </c>
      <c r="AH29" s="194">
        <v>27</v>
      </c>
      <c r="AI29" s="194">
        <v>0.66700000000000004</v>
      </c>
      <c r="AJ29" s="194">
        <v>0.66700000000000004</v>
      </c>
      <c r="AK29" s="194">
        <v>36</v>
      </c>
      <c r="AL29" s="140"/>
      <c r="AM29" s="140"/>
      <c r="AN29" s="140"/>
      <c r="AO29" s="140"/>
      <c r="AP29" s="140"/>
      <c r="AQ29" s="140"/>
      <c r="AR29" s="140"/>
      <c r="AS29" s="140"/>
      <c r="AT29" s="140"/>
      <c r="AU29" s="140"/>
      <c r="AV29" s="140"/>
      <c r="AW29" s="140"/>
      <c r="AX29" s="140"/>
      <c r="AY29" s="140"/>
      <c r="AZ29" s="140"/>
      <c r="BA29" s="140"/>
      <c r="BB29" s="140"/>
      <c r="BC29" s="140"/>
      <c r="BD29" s="140"/>
      <c r="BE29" s="140"/>
      <c r="BF29" s="140"/>
      <c r="BG29" s="140"/>
      <c r="BH29" s="140"/>
      <c r="BI29" s="140"/>
    </row>
    <row r="30" spans="1:61" x14ac:dyDescent="0.3">
      <c r="A30" s="193" t="s">
        <v>412</v>
      </c>
      <c r="B30" s="194">
        <v>0.66700000000000004</v>
      </c>
      <c r="C30" s="194">
        <v>0.7</v>
      </c>
      <c r="D30" s="194">
        <v>10</v>
      </c>
      <c r="E30" s="194">
        <v>0.66700000000000004</v>
      </c>
      <c r="F30" s="194">
        <v>0.6</v>
      </c>
      <c r="G30" s="194">
        <v>5</v>
      </c>
      <c r="H30" s="194">
        <v>0.57099999999999995</v>
      </c>
      <c r="I30" s="194"/>
      <c r="J30" s="194"/>
      <c r="K30" s="194">
        <v>0.55600000000000005</v>
      </c>
      <c r="L30" s="194">
        <v>0.5</v>
      </c>
      <c r="M30" s="194">
        <v>2</v>
      </c>
      <c r="N30" s="194">
        <v>0.6</v>
      </c>
      <c r="O30" s="194">
        <v>0.57099999999999995</v>
      </c>
      <c r="P30" s="194">
        <v>7</v>
      </c>
      <c r="Q30" s="194">
        <v>0.72699999999999998</v>
      </c>
      <c r="R30" s="194">
        <v>1</v>
      </c>
      <c r="S30" s="194">
        <v>1</v>
      </c>
      <c r="T30" s="194">
        <v>0.6</v>
      </c>
      <c r="U30" s="194">
        <v>1</v>
      </c>
      <c r="V30" s="194">
        <v>3</v>
      </c>
      <c r="W30" s="194">
        <v>0.61499999999999999</v>
      </c>
      <c r="X30" s="194">
        <v>0.33300000000000002</v>
      </c>
      <c r="Y30" s="194">
        <v>6</v>
      </c>
      <c r="Z30" s="194">
        <v>0.5</v>
      </c>
      <c r="AA30" s="194">
        <v>0.75</v>
      </c>
      <c r="AB30" s="194">
        <v>4</v>
      </c>
      <c r="AC30" s="194">
        <v>0.72699999999999998</v>
      </c>
      <c r="AD30" s="194">
        <v>0.5</v>
      </c>
      <c r="AE30" s="194">
        <v>2</v>
      </c>
      <c r="AF30" s="194">
        <v>0.84199999999999997</v>
      </c>
      <c r="AG30" s="194">
        <v>0.8</v>
      </c>
      <c r="AH30" s="194">
        <v>5</v>
      </c>
      <c r="AI30" s="194">
        <v>0.88200000000000001</v>
      </c>
      <c r="AJ30" s="194">
        <v>0.91700000000000004</v>
      </c>
      <c r="AK30" s="194">
        <v>12</v>
      </c>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row>
    <row r="31" spans="1:61" x14ac:dyDescent="0.3">
      <c r="A31" s="193" t="s">
        <v>346</v>
      </c>
      <c r="B31" s="194">
        <v>0.75700000000000001</v>
      </c>
      <c r="C31" s="194">
        <v>0.73699999999999999</v>
      </c>
      <c r="D31" s="194">
        <v>38</v>
      </c>
      <c r="E31" s="194">
        <v>0.77400000000000002</v>
      </c>
      <c r="F31" s="194">
        <v>0.77800000000000002</v>
      </c>
      <c r="G31" s="194">
        <v>36</v>
      </c>
      <c r="H31" s="194">
        <v>0.79</v>
      </c>
      <c r="I31" s="194">
        <v>0.81299999999999994</v>
      </c>
      <c r="J31" s="194">
        <v>32</v>
      </c>
      <c r="K31" s="194">
        <v>0.83199999999999996</v>
      </c>
      <c r="L31" s="194">
        <v>0.78400000000000003</v>
      </c>
      <c r="M31" s="194">
        <v>37</v>
      </c>
      <c r="N31" s="194">
        <v>0.81100000000000005</v>
      </c>
      <c r="O31" s="194">
        <v>0.88600000000000001</v>
      </c>
      <c r="P31" s="194">
        <v>44</v>
      </c>
      <c r="Q31" s="194">
        <v>0.83099999999999996</v>
      </c>
      <c r="R31" s="194">
        <v>0.75600000000000001</v>
      </c>
      <c r="S31" s="194">
        <v>41</v>
      </c>
      <c r="T31" s="194">
        <v>0.77600000000000002</v>
      </c>
      <c r="U31" s="194">
        <v>0.84799999999999998</v>
      </c>
      <c r="V31" s="194">
        <v>33</v>
      </c>
      <c r="W31" s="194">
        <v>0.80600000000000005</v>
      </c>
      <c r="X31" s="194">
        <v>0.73799999999999999</v>
      </c>
      <c r="Y31" s="194">
        <v>42</v>
      </c>
      <c r="Z31" s="194">
        <v>0.78200000000000003</v>
      </c>
      <c r="AA31" s="194">
        <v>0.83299999999999996</v>
      </c>
      <c r="AB31" s="194">
        <v>54</v>
      </c>
      <c r="AC31" s="194">
        <v>0.79100000000000004</v>
      </c>
      <c r="AD31" s="194">
        <v>0.76100000000000001</v>
      </c>
      <c r="AE31" s="194">
        <v>46</v>
      </c>
      <c r="AF31" s="194">
        <v>0.77800000000000002</v>
      </c>
      <c r="AG31" s="194">
        <v>0.77600000000000002</v>
      </c>
      <c r="AH31" s="194">
        <v>58</v>
      </c>
      <c r="AI31" s="194">
        <v>0.78500000000000003</v>
      </c>
      <c r="AJ31" s="194">
        <v>0.79600000000000004</v>
      </c>
      <c r="AK31" s="194">
        <v>49</v>
      </c>
      <c r="AL31" s="140"/>
      <c r="AM31" s="140"/>
      <c r="AN31" s="140"/>
      <c r="AO31" s="140"/>
      <c r="AP31" s="140"/>
      <c r="AQ31" s="140"/>
      <c r="AR31" s="140"/>
      <c r="AS31" s="140"/>
      <c r="AT31" s="140"/>
      <c r="AU31" s="140"/>
      <c r="AV31" s="140"/>
      <c r="AW31" s="140"/>
      <c r="AX31" s="140"/>
      <c r="AY31" s="140"/>
      <c r="AZ31" s="140"/>
      <c r="BA31" s="140"/>
      <c r="BB31" s="140"/>
      <c r="BC31" s="140"/>
      <c r="BD31" s="140"/>
      <c r="BE31" s="140"/>
      <c r="BF31" s="140"/>
      <c r="BG31" s="140"/>
      <c r="BH31" s="140"/>
      <c r="BI31" s="140"/>
    </row>
    <row r="32" spans="1:61" x14ac:dyDescent="0.3">
      <c r="A32" s="193" t="s">
        <v>352</v>
      </c>
      <c r="B32" s="194">
        <v>0.84199999999999997</v>
      </c>
      <c r="C32" s="194">
        <v>0.89300000000000002</v>
      </c>
      <c r="D32" s="194">
        <v>56</v>
      </c>
      <c r="E32" s="194">
        <v>0.82899999999999996</v>
      </c>
      <c r="F32" s="194">
        <v>0.79300000000000004</v>
      </c>
      <c r="G32" s="194">
        <v>58</v>
      </c>
      <c r="H32" s="194">
        <v>0.80600000000000005</v>
      </c>
      <c r="I32" s="194">
        <v>0.8</v>
      </c>
      <c r="J32" s="194">
        <v>50</v>
      </c>
      <c r="K32" s="194">
        <v>0.82699999999999996</v>
      </c>
      <c r="L32" s="194">
        <v>0.82699999999999996</v>
      </c>
      <c r="M32" s="194">
        <v>52</v>
      </c>
      <c r="N32" s="194">
        <v>0.83499999999999996</v>
      </c>
      <c r="O32" s="194">
        <v>0.85399999999999998</v>
      </c>
      <c r="P32" s="194">
        <v>48</v>
      </c>
      <c r="Q32" s="194">
        <v>0.879</v>
      </c>
      <c r="R32" s="194">
        <v>0.82099999999999995</v>
      </c>
      <c r="S32" s="194">
        <v>39</v>
      </c>
      <c r="T32" s="194">
        <v>0.83599999999999997</v>
      </c>
      <c r="U32" s="194">
        <v>0.97299999999999998</v>
      </c>
      <c r="V32" s="194">
        <v>37</v>
      </c>
      <c r="W32" s="194">
        <v>0.81</v>
      </c>
      <c r="X32" s="194">
        <v>0.72499999999999998</v>
      </c>
      <c r="Y32" s="194">
        <v>40</v>
      </c>
      <c r="Z32" s="194">
        <v>0.72699999999999998</v>
      </c>
      <c r="AA32" s="194">
        <v>0.75</v>
      </c>
      <c r="AB32" s="194">
        <v>44</v>
      </c>
      <c r="AC32" s="194">
        <v>0.75700000000000001</v>
      </c>
      <c r="AD32" s="194">
        <v>0.70899999999999996</v>
      </c>
      <c r="AE32" s="194">
        <v>55</v>
      </c>
      <c r="AF32" s="194">
        <v>0.76900000000000002</v>
      </c>
      <c r="AG32" s="194">
        <v>0.82899999999999996</v>
      </c>
      <c r="AH32" s="194">
        <v>41</v>
      </c>
      <c r="AI32" s="194">
        <v>0.80200000000000005</v>
      </c>
      <c r="AJ32" s="194">
        <v>0.78300000000000003</v>
      </c>
      <c r="AK32" s="194">
        <v>60</v>
      </c>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row>
    <row r="33" spans="1:61" x14ac:dyDescent="0.3">
      <c r="A33" s="193" t="s">
        <v>446</v>
      </c>
      <c r="B33" s="194">
        <v>0.87</v>
      </c>
      <c r="C33" s="194">
        <v>0.89700000000000002</v>
      </c>
      <c r="D33" s="194">
        <v>29</v>
      </c>
      <c r="E33" s="194">
        <v>0.85299999999999998</v>
      </c>
      <c r="F33" s="194">
        <v>0.84</v>
      </c>
      <c r="G33" s="194">
        <v>25</v>
      </c>
      <c r="H33" s="194">
        <v>0.83099999999999996</v>
      </c>
      <c r="I33" s="194">
        <v>0.81</v>
      </c>
      <c r="J33" s="194">
        <v>21</v>
      </c>
      <c r="K33" s="194">
        <v>0.83299999999999996</v>
      </c>
      <c r="L33" s="194">
        <v>0.84199999999999997</v>
      </c>
      <c r="M33" s="194">
        <v>19</v>
      </c>
      <c r="N33" s="194">
        <v>0.85499999999999998</v>
      </c>
      <c r="O33" s="194">
        <v>0.84599999999999997</v>
      </c>
      <c r="P33" s="194">
        <v>26</v>
      </c>
      <c r="Q33" s="194">
        <v>0.90900000000000003</v>
      </c>
      <c r="R33" s="194">
        <v>0.875</v>
      </c>
      <c r="S33" s="194">
        <v>24</v>
      </c>
      <c r="T33" s="194">
        <v>0.90100000000000002</v>
      </c>
      <c r="U33" s="194">
        <v>1</v>
      </c>
      <c r="V33" s="194">
        <v>27</v>
      </c>
      <c r="W33" s="194">
        <v>0.82499999999999996</v>
      </c>
      <c r="X33" s="194">
        <v>0.83299999999999996</v>
      </c>
      <c r="Y33" s="194">
        <v>30</v>
      </c>
      <c r="Z33" s="194">
        <v>0.75900000000000001</v>
      </c>
      <c r="AA33" s="194">
        <v>0.60899999999999999</v>
      </c>
      <c r="AB33" s="194">
        <v>23</v>
      </c>
      <c r="AC33" s="194">
        <v>0.68400000000000005</v>
      </c>
      <c r="AD33" s="194">
        <v>0.80800000000000005</v>
      </c>
      <c r="AE33" s="194">
        <v>26</v>
      </c>
      <c r="AF33" s="194">
        <v>0.73299999999999998</v>
      </c>
      <c r="AG33" s="194">
        <v>0.63</v>
      </c>
      <c r="AH33" s="194">
        <v>27</v>
      </c>
      <c r="AI33" s="194">
        <v>0.7</v>
      </c>
      <c r="AJ33" s="194">
        <v>0.75800000000000001</v>
      </c>
      <c r="AK33" s="194">
        <v>33</v>
      </c>
      <c r="AL33" s="140"/>
      <c r="AM33" s="140"/>
      <c r="AN33" s="140"/>
      <c r="AO33" s="140"/>
      <c r="AP33" s="140"/>
      <c r="AQ33" s="140"/>
      <c r="AR33" s="140"/>
      <c r="AS33" s="140"/>
      <c r="AT33" s="140"/>
      <c r="AU33" s="140"/>
      <c r="AV33" s="140"/>
      <c r="AW33" s="140"/>
      <c r="AX33" s="140"/>
      <c r="AY33" s="140"/>
      <c r="AZ33" s="140"/>
      <c r="BA33" s="140"/>
      <c r="BB33" s="140"/>
      <c r="BC33" s="140"/>
      <c r="BD33" s="140"/>
      <c r="BE33" s="140"/>
      <c r="BF33" s="140"/>
      <c r="BG33" s="140"/>
      <c r="BH33" s="140"/>
      <c r="BI33" s="140"/>
    </row>
    <row r="34" spans="1:61" x14ac:dyDescent="0.3">
      <c r="A34" s="193" t="s">
        <v>396</v>
      </c>
      <c r="B34" s="194">
        <v>0.81299999999999994</v>
      </c>
      <c r="C34" s="194">
        <v>0.78600000000000003</v>
      </c>
      <c r="D34" s="194">
        <v>28</v>
      </c>
      <c r="E34" s="194">
        <v>0.85099999999999998</v>
      </c>
      <c r="F34" s="194">
        <v>0.85</v>
      </c>
      <c r="G34" s="194">
        <v>20</v>
      </c>
      <c r="H34" s="194">
        <v>0.85699999999999998</v>
      </c>
      <c r="I34" s="194">
        <v>0.89700000000000002</v>
      </c>
      <c r="J34" s="194">
        <v>39</v>
      </c>
      <c r="K34" s="194">
        <v>0.9</v>
      </c>
      <c r="L34" s="194">
        <v>0.8</v>
      </c>
      <c r="M34" s="194">
        <v>25</v>
      </c>
      <c r="N34" s="194">
        <v>0.91900000000000004</v>
      </c>
      <c r="O34" s="194">
        <v>1</v>
      </c>
      <c r="P34" s="194">
        <v>26</v>
      </c>
      <c r="Q34" s="194">
        <v>0.98699999999999999</v>
      </c>
      <c r="R34" s="194">
        <v>0.95699999999999996</v>
      </c>
      <c r="S34" s="194">
        <v>23</v>
      </c>
      <c r="T34" s="194">
        <v>0.95899999999999996</v>
      </c>
      <c r="U34" s="194">
        <v>1</v>
      </c>
      <c r="V34" s="194">
        <v>26</v>
      </c>
      <c r="W34" s="194">
        <v>0.84099999999999997</v>
      </c>
      <c r="X34" s="194">
        <v>0.93799999999999994</v>
      </c>
      <c r="Y34" s="194">
        <v>48</v>
      </c>
      <c r="Z34" s="194">
        <v>0.78600000000000003</v>
      </c>
      <c r="AA34" s="194">
        <v>0.57599999999999996</v>
      </c>
      <c r="AB34" s="194">
        <v>33</v>
      </c>
      <c r="AC34" s="194">
        <v>0.68700000000000006</v>
      </c>
      <c r="AD34" s="194">
        <v>0.77800000000000002</v>
      </c>
      <c r="AE34" s="194">
        <v>36</v>
      </c>
      <c r="AF34" s="194">
        <v>0.71199999999999997</v>
      </c>
      <c r="AG34" s="194">
        <v>0.7</v>
      </c>
      <c r="AH34" s="194">
        <v>30</v>
      </c>
      <c r="AI34" s="194">
        <v>0.67600000000000005</v>
      </c>
      <c r="AJ34" s="194">
        <v>0.65800000000000003</v>
      </c>
      <c r="AK34" s="194">
        <v>38</v>
      </c>
      <c r="AL34" s="140"/>
      <c r="AM34" s="140"/>
      <c r="AN34" s="140"/>
      <c r="AO34" s="140"/>
      <c r="AP34" s="140"/>
      <c r="AQ34" s="140"/>
      <c r="AR34" s="140"/>
      <c r="AS34" s="140"/>
      <c r="AT34" s="140"/>
      <c r="AU34" s="140"/>
      <c r="AV34" s="140"/>
      <c r="AW34" s="140"/>
      <c r="AX34" s="140"/>
      <c r="AY34" s="140"/>
      <c r="AZ34" s="140"/>
      <c r="BA34" s="140"/>
      <c r="BB34" s="140"/>
      <c r="BC34" s="140"/>
      <c r="BD34" s="140"/>
      <c r="BE34" s="140"/>
      <c r="BF34" s="140"/>
      <c r="BG34" s="140"/>
      <c r="BH34" s="140"/>
      <c r="BI34" s="140"/>
    </row>
    <row r="35" spans="1:61" x14ac:dyDescent="0.3">
      <c r="A35" s="193" t="s">
        <v>272</v>
      </c>
      <c r="B35" s="194">
        <v>0.83299999999999996</v>
      </c>
      <c r="C35" s="194">
        <v>0.85699999999999998</v>
      </c>
      <c r="D35" s="194">
        <v>7</v>
      </c>
      <c r="E35" s="194">
        <v>0.83799999999999997</v>
      </c>
      <c r="F35" s="194">
        <v>0.81799999999999995</v>
      </c>
      <c r="G35" s="194">
        <v>11</v>
      </c>
      <c r="H35" s="194">
        <v>0.84599999999999997</v>
      </c>
      <c r="I35" s="194">
        <v>0.84199999999999997</v>
      </c>
      <c r="J35" s="194">
        <v>19</v>
      </c>
      <c r="K35" s="194">
        <v>0.85</v>
      </c>
      <c r="L35" s="194">
        <v>0.88900000000000001</v>
      </c>
      <c r="M35" s="194">
        <v>9</v>
      </c>
      <c r="N35" s="194">
        <v>0.90500000000000003</v>
      </c>
      <c r="O35" s="194">
        <v>0.83299999999999996</v>
      </c>
      <c r="P35" s="194">
        <v>12</v>
      </c>
      <c r="Q35" s="194">
        <v>0.92900000000000005</v>
      </c>
      <c r="R35" s="194">
        <v>0.95199999999999996</v>
      </c>
      <c r="S35" s="194">
        <v>21</v>
      </c>
      <c r="T35" s="194">
        <v>0.93700000000000006</v>
      </c>
      <c r="U35" s="194">
        <v>0.95699999999999996</v>
      </c>
      <c r="V35" s="194">
        <v>23</v>
      </c>
      <c r="W35" s="194">
        <v>0.93200000000000005</v>
      </c>
      <c r="X35" s="194">
        <v>0.89500000000000002</v>
      </c>
      <c r="Y35" s="194">
        <v>19</v>
      </c>
      <c r="Z35" s="194">
        <v>0.88500000000000001</v>
      </c>
      <c r="AA35" s="194">
        <v>0.93799999999999994</v>
      </c>
      <c r="AB35" s="194">
        <v>32</v>
      </c>
      <c r="AC35" s="194">
        <v>0.85099999999999998</v>
      </c>
      <c r="AD35" s="194">
        <v>0.81499999999999995</v>
      </c>
      <c r="AE35" s="194">
        <v>27</v>
      </c>
      <c r="AF35" s="194">
        <v>0.82299999999999995</v>
      </c>
      <c r="AG35" s="194">
        <v>0.78600000000000003</v>
      </c>
      <c r="AH35" s="194">
        <v>28</v>
      </c>
      <c r="AI35" s="194">
        <v>0.82599999999999996</v>
      </c>
      <c r="AJ35" s="194">
        <v>0.85399999999999998</v>
      </c>
      <c r="AK35" s="194">
        <v>41</v>
      </c>
      <c r="AL35" s="140"/>
      <c r="AM35" s="140"/>
      <c r="AN35" s="140"/>
      <c r="AO35" s="140"/>
      <c r="AP35" s="140"/>
      <c r="AQ35" s="140"/>
      <c r="AR35" s="140"/>
      <c r="AS35" s="140"/>
      <c r="AT35" s="140"/>
      <c r="AU35" s="140"/>
      <c r="AV35" s="140"/>
      <c r="AW35" s="140"/>
      <c r="AX35" s="140"/>
      <c r="AY35" s="140"/>
      <c r="AZ35" s="140"/>
      <c r="BA35" s="140"/>
      <c r="BB35" s="140"/>
      <c r="BC35" s="140"/>
      <c r="BD35" s="140"/>
      <c r="BE35" s="140"/>
      <c r="BF35" s="140"/>
      <c r="BG35" s="140"/>
      <c r="BH35" s="140"/>
      <c r="BI35" s="140"/>
    </row>
    <row r="36" spans="1:61" x14ac:dyDescent="0.3">
      <c r="A36" s="193" t="s">
        <v>276</v>
      </c>
      <c r="B36" s="194">
        <v>1</v>
      </c>
      <c r="C36" s="194">
        <v>1</v>
      </c>
      <c r="D36" s="194">
        <v>15</v>
      </c>
      <c r="E36" s="194">
        <v>1</v>
      </c>
      <c r="F36" s="194">
        <v>1</v>
      </c>
      <c r="G36" s="194">
        <v>10</v>
      </c>
      <c r="H36" s="194">
        <v>0.96399999999999997</v>
      </c>
      <c r="I36" s="194">
        <v>1</v>
      </c>
      <c r="J36" s="194">
        <v>7</v>
      </c>
      <c r="K36" s="194">
        <v>0.89300000000000002</v>
      </c>
      <c r="L36" s="194">
        <v>0.90900000000000003</v>
      </c>
      <c r="M36" s="194">
        <v>11</v>
      </c>
      <c r="N36" s="194">
        <v>0.875</v>
      </c>
      <c r="O36" s="194">
        <v>0.8</v>
      </c>
      <c r="P36" s="194">
        <v>10</v>
      </c>
      <c r="Q36" s="194">
        <v>0.9</v>
      </c>
      <c r="R36" s="194">
        <v>0.90900000000000003</v>
      </c>
      <c r="S36" s="194">
        <v>11</v>
      </c>
      <c r="T36" s="194">
        <v>0.89300000000000002</v>
      </c>
      <c r="U36" s="194">
        <v>1</v>
      </c>
      <c r="V36" s="194">
        <v>9</v>
      </c>
      <c r="W36" s="194">
        <v>0.81299999999999994</v>
      </c>
      <c r="X36" s="194">
        <v>0.75</v>
      </c>
      <c r="Y36" s="194">
        <v>8</v>
      </c>
      <c r="Z36" s="194">
        <v>0.67600000000000005</v>
      </c>
      <c r="AA36" s="194">
        <v>0.73299999999999998</v>
      </c>
      <c r="AB36" s="194">
        <v>15</v>
      </c>
      <c r="AC36" s="194">
        <v>0.73099999999999998</v>
      </c>
      <c r="AD36" s="194">
        <v>0.57099999999999995</v>
      </c>
      <c r="AE36" s="194">
        <v>14</v>
      </c>
      <c r="AF36" s="194">
        <v>0.745</v>
      </c>
      <c r="AG36" s="194">
        <v>0.82599999999999996</v>
      </c>
      <c r="AH36" s="194">
        <v>23</v>
      </c>
      <c r="AI36" s="194">
        <v>0.81100000000000005</v>
      </c>
      <c r="AJ36" s="194">
        <v>0.78600000000000003</v>
      </c>
      <c r="AK36" s="194">
        <v>14</v>
      </c>
      <c r="AL36" s="140"/>
      <c r="AM36" s="140"/>
      <c r="AN36" s="140"/>
      <c r="AO36" s="140"/>
      <c r="AP36" s="140"/>
      <c r="AQ36" s="140"/>
      <c r="AR36" s="140"/>
      <c r="AS36" s="140"/>
      <c r="AT36" s="140"/>
      <c r="AU36" s="140"/>
      <c r="AV36" s="140"/>
      <c r="AW36" s="140"/>
      <c r="AX36" s="140"/>
      <c r="AY36" s="140"/>
      <c r="AZ36" s="140"/>
      <c r="BA36" s="140"/>
      <c r="BB36" s="140"/>
      <c r="BC36" s="140"/>
      <c r="BD36" s="140"/>
      <c r="BE36" s="140"/>
      <c r="BF36" s="140"/>
      <c r="BG36" s="140"/>
      <c r="BH36" s="140"/>
      <c r="BI36" s="140"/>
    </row>
    <row r="37" spans="1:61" x14ac:dyDescent="0.3">
      <c r="A37" s="193" t="s">
        <v>502</v>
      </c>
      <c r="B37" s="194">
        <v>0.78800000000000003</v>
      </c>
      <c r="C37" s="194">
        <v>0.83299999999999996</v>
      </c>
      <c r="D37" s="194">
        <v>18</v>
      </c>
      <c r="E37" s="194">
        <v>0.84899999999999998</v>
      </c>
      <c r="F37" s="194">
        <v>0.73299999999999998</v>
      </c>
      <c r="G37" s="194">
        <v>15</v>
      </c>
      <c r="H37" s="194">
        <v>0.85399999999999998</v>
      </c>
      <c r="I37" s="194">
        <v>0.95</v>
      </c>
      <c r="J37" s="194">
        <v>20</v>
      </c>
      <c r="K37" s="194">
        <v>0.93799999999999994</v>
      </c>
      <c r="L37" s="194">
        <v>0.83299999999999996</v>
      </c>
      <c r="M37" s="194">
        <v>6</v>
      </c>
      <c r="N37" s="194">
        <v>0.90500000000000003</v>
      </c>
      <c r="O37" s="194">
        <v>1</v>
      </c>
      <c r="P37" s="194">
        <v>6</v>
      </c>
      <c r="Q37" s="194">
        <v>0.85199999999999998</v>
      </c>
      <c r="R37" s="194">
        <v>0.88900000000000001</v>
      </c>
      <c r="S37" s="194">
        <v>9</v>
      </c>
      <c r="T37" s="194">
        <v>0.871</v>
      </c>
      <c r="U37" s="194">
        <v>0.75</v>
      </c>
      <c r="V37" s="194">
        <v>12</v>
      </c>
      <c r="W37" s="194">
        <v>0.875</v>
      </c>
      <c r="X37" s="194">
        <v>1</v>
      </c>
      <c r="Y37" s="194">
        <v>10</v>
      </c>
      <c r="Z37" s="194">
        <v>0.9</v>
      </c>
      <c r="AA37" s="194">
        <v>0.9</v>
      </c>
      <c r="AB37" s="194">
        <v>10</v>
      </c>
      <c r="AC37" s="194">
        <v>0.76700000000000002</v>
      </c>
      <c r="AD37" s="194">
        <v>0.8</v>
      </c>
      <c r="AE37" s="194">
        <v>10</v>
      </c>
      <c r="AF37" s="194">
        <v>0.75</v>
      </c>
      <c r="AG37" s="194">
        <v>0.6</v>
      </c>
      <c r="AH37" s="194">
        <v>10</v>
      </c>
      <c r="AI37" s="194">
        <v>0.72199999999999998</v>
      </c>
      <c r="AJ37" s="194">
        <v>0.875</v>
      </c>
      <c r="AK37" s="194">
        <v>8</v>
      </c>
      <c r="AL37" s="140"/>
      <c r="AM37" s="140"/>
      <c r="AN37" s="140"/>
      <c r="AO37" s="140"/>
      <c r="AP37" s="140"/>
      <c r="AQ37" s="140"/>
      <c r="AR37" s="140"/>
      <c r="AS37" s="140"/>
      <c r="AT37" s="140"/>
      <c r="AU37" s="140"/>
      <c r="AV37" s="140"/>
      <c r="AW37" s="140"/>
      <c r="AX37" s="140"/>
      <c r="AY37" s="140"/>
      <c r="AZ37" s="140"/>
      <c r="BA37" s="140"/>
      <c r="BB37" s="140"/>
      <c r="BC37" s="140"/>
      <c r="BD37" s="140"/>
      <c r="BE37" s="140"/>
      <c r="BF37" s="140"/>
      <c r="BG37" s="140"/>
      <c r="BH37" s="140"/>
      <c r="BI37" s="140"/>
    </row>
    <row r="38" spans="1:61" x14ac:dyDescent="0.3">
      <c r="A38" s="193" t="s">
        <v>314</v>
      </c>
      <c r="B38" s="194">
        <v>1</v>
      </c>
      <c r="C38" s="194">
        <v>1</v>
      </c>
      <c r="D38" s="194">
        <v>9</v>
      </c>
      <c r="E38" s="194">
        <v>0.97099999999999997</v>
      </c>
      <c r="F38" s="194">
        <v>1</v>
      </c>
      <c r="G38" s="194">
        <v>7</v>
      </c>
      <c r="H38" s="194">
        <v>0.94599999999999995</v>
      </c>
      <c r="I38" s="194">
        <v>0.94399999999999995</v>
      </c>
      <c r="J38" s="194">
        <v>18</v>
      </c>
      <c r="K38" s="194">
        <v>0.82499999999999996</v>
      </c>
      <c r="L38" s="194">
        <v>0.91700000000000004</v>
      </c>
      <c r="M38" s="194">
        <v>12</v>
      </c>
      <c r="N38" s="194">
        <v>0.77400000000000002</v>
      </c>
      <c r="O38" s="194">
        <v>0.5</v>
      </c>
      <c r="P38" s="194">
        <v>10</v>
      </c>
      <c r="Q38" s="194">
        <v>0.78600000000000003</v>
      </c>
      <c r="R38" s="194">
        <v>0.88900000000000001</v>
      </c>
      <c r="S38" s="194">
        <v>9</v>
      </c>
      <c r="T38" s="194">
        <v>0.90300000000000002</v>
      </c>
      <c r="U38" s="194">
        <v>1</v>
      </c>
      <c r="V38" s="194">
        <v>9</v>
      </c>
      <c r="W38" s="194">
        <v>0.9</v>
      </c>
      <c r="X38" s="194">
        <v>0.84599999999999997</v>
      </c>
      <c r="Y38" s="194">
        <v>13</v>
      </c>
      <c r="Z38" s="194">
        <v>0.81299999999999994</v>
      </c>
      <c r="AA38" s="194">
        <v>0.875</v>
      </c>
      <c r="AB38" s="194">
        <v>8</v>
      </c>
      <c r="AC38" s="194">
        <v>0.82099999999999995</v>
      </c>
      <c r="AD38" s="194">
        <v>0.72699999999999998</v>
      </c>
      <c r="AE38" s="194">
        <v>11</v>
      </c>
      <c r="AF38" s="194">
        <v>0.84599999999999997</v>
      </c>
      <c r="AG38" s="194">
        <v>0.88900000000000001</v>
      </c>
      <c r="AH38" s="194">
        <v>9</v>
      </c>
      <c r="AI38" s="194">
        <v>0.89300000000000002</v>
      </c>
      <c r="AJ38" s="194">
        <v>0.89500000000000002</v>
      </c>
      <c r="AK38" s="194">
        <v>19</v>
      </c>
      <c r="AL38" s="140"/>
      <c r="AM38" s="140"/>
      <c r="AN38" s="140"/>
      <c r="AO38" s="140"/>
      <c r="AP38" s="140"/>
      <c r="AQ38" s="140"/>
      <c r="AR38" s="140"/>
      <c r="AS38" s="140"/>
      <c r="AT38" s="140"/>
      <c r="AU38" s="140"/>
      <c r="AV38" s="140"/>
      <c r="AW38" s="140"/>
      <c r="AX38" s="140"/>
      <c r="AY38" s="140"/>
      <c r="AZ38" s="140"/>
      <c r="BA38" s="140"/>
      <c r="BB38" s="140"/>
      <c r="BC38" s="140"/>
      <c r="BD38" s="140"/>
      <c r="BE38" s="140"/>
      <c r="BF38" s="140"/>
      <c r="BG38" s="140"/>
      <c r="BH38" s="140"/>
      <c r="BI38" s="140"/>
    </row>
    <row r="39" spans="1:61" x14ac:dyDescent="0.3">
      <c r="A39" s="193" t="s">
        <v>425</v>
      </c>
      <c r="B39" s="194">
        <v>0.82099999999999995</v>
      </c>
      <c r="C39" s="194">
        <v>0.81</v>
      </c>
      <c r="D39" s="194">
        <v>21</v>
      </c>
      <c r="E39" s="194">
        <v>0.80900000000000005</v>
      </c>
      <c r="F39" s="194">
        <v>0.83299999999999996</v>
      </c>
      <c r="G39" s="194">
        <v>18</v>
      </c>
      <c r="H39" s="194">
        <v>0.72099999999999997</v>
      </c>
      <c r="I39" s="194">
        <v>0.75</v>
      </c>
      <c r="J39" s="194">
        <v>8</v>
      </c>
      <c r="K39" s="194">
        <v>0.71099999999999997</v>
      </c>
      <c r="L39" s="194">
        <v>0.58799999999999997</v>
      </c>
      <c r="M39" s="194">
        <v>17</v>
      </c>
      <c r="N39" s="194">
        <v>0.8</v>
      </c>
      <c r="O39" s="194">
        <v>0.84599999999999997</v>
      </c>
      <c r="P39" s="194">
        <v>13</v>
      </c>
      <c r="Q39" s="194">
        <v>0.879</v>
      </c>
      <c r="R39" s="194">
        <v>0.95</v>
      </c>
      <c r="S39" s="194">
        <v>20</v>
      </c>
      <c r="T39" s="194">
        <v>0.86599999999999999</v>
      </c>
      <c r="U39" s="194">
        <v>0.84</v>
      </c>
      <c r="V39" s="194">
        <v>25</v>
      </c>
      <c r="W39" s="194">
        <v>0.80700000000000005</v>
      </c>
      <c r="X39" s="194">
        <v>0.83799999999999997</v>
      </c>
      <c r="Y39" s="194">
        <v>37</v>
      </c>
      <c r="Z39" s="194">
        <v>0.80200000000000005</v>
      </c>
      <c r="AA39" s="194">
        <v>0.71399999999999997</v>
      </c>
      <c r="AB39" s="194">
        <v>21</v>
      </c>
      <c r="AC39" s="194">
        <v>0.79100000000000004</v>
      </c>
      <c r="AD39" s="194">
        <v>0.82599999999999996</v>
      </c>
      <c r="AE39" s="194">
        <v>23</v>
      </c>
      <c r="AF39" s="194">
        <v>0.74399999999999999</v>
      </c>
      <c r="AG39" s="194">
        <v>0.82599999999999996</v>
      </c>
      <c r="AH39" s="194">
        <v>23</v>
      </c>
      <c r="AI39" s="194">
        <v>0.70899999999999996</v>
      </c>
      <c r="AJ39" s="194">
        <v>0.625</v>
      </c>
      <c r="AK39" s="194">
        <v>32</v>
      </c>
      <c r="AL39" s="140"/>
      <c r="AM39" s="140"/>
      <c r="AN39" s="140"/>
      <c r="AO39" s="140"/>
      <c r="AP39" s="140"/>
      <c r="AQ39" s="140"/>
      <c r="AR39" s="140"/>
      <c r="AS39" s="140"/>
      <c r="AT39" s="140"/>
      <c r="AU39" s="140"/>
      <c r="AV39" s="140"/>
      <c r="AW39" s="140"/>
      <c r="AX39" s="140"/>
      <c r="AY39" s="140"/>
      <c r="AZ39" s="140"/>
      <c r="BA39" s="140"/>
      <c r="BB39" s="140"/>
      <c r="BC39" s="140"/>
      <c r="BD39" s="140"/>
      <c r="BE39" s="140"/>
      <c r="BF39" s="140"/>
      <c r="BG39" s="140"/>
      <c r="BH39" s="140"/>
      <c r="BI39" s="140"/>
    </row>
    <row r="40" spans="1:61" x14ac:dyDescent="0.3">
      <c r="A40" s="193" t="s">
        <v>380</v>
      </c>
      <c r="B40" s="194">
        <v>0.53800000000000003</v>
      </c>
      <c r="C40" s="194">
        <v>0.5</v>
      </c>
      <c r="D40" s="194">
        <v>6</v>
      </c>
      <c r="E40" s="194">
        <v>0.58799999999999997</v>
      </c>
      <c r="F40" s="194">
        <v>0.57099999999999995</v>
      </c>
      <c r="G40" s="194">
        <v>7</v>
      </c>
      <c r="H40" s="194">
        <v>0.61499999999999999</v>
      </c>
      <c r="I40" s="194">
        <v>0.75</v>
      </c>
      <c r="J40" s="194">
        <v>4</v>
      </c>
      <c r="K40" s="194">
        <v>0.66700000000000004</v>
      </c>
      <c r="L40" s="194">
        <v>0.5</v>
      </c>
      <c r="M40" s="194">
        <v>2</v>
      </c>
      <c r="N40" s="194">
        <v>0.6</v>
      </c>
      <c r="O40" s="194">
        <v>0.66700000000000004</v>
      </c>
      <c r="P40" s="194">
        <v>3</v>
      </c>
      <c r="Q40" s="194">
        <v>0.75</v>
      </c>
      <c r="R40" s="194"/>
      <c r="S40" s="194"/>
      <c r="T40" s="194">
        <v>0.78600000000000003</v>
      </c>
      <c r="U40" s="194">
        <v>0.77800000000000002</v>
      </c>
      <c r="V40" s="194">
        <v>9</v>
      </c>
      <c r="W40" s="194">
        <v>0.75</v>
      </c>
      <c r="X40" s="194">
        <v>0.8</v>
      </c>
      <c r="Y40" s="194">
        <v>5</v>
      </c>
      <c r="Z40" s="194">
        <v>0.65</v>
      </c>
      <c r="AA40" s="194">
        <v>0.66700000000000004</v>
      </c>
      <c r="AB40" s="194">
        <v>6</v>
      </c>
      <c r="AC40" s="194">
        <v>0.52600000000000002</v>
      </c>
      <c r="AD40" s="194">
        <v>0.55600000000000005</v>
      </c>
      <c r="AE40" s="194">
        <v>9</v>
      </c>
      <c r="AF40" s="194">
        <v>0.5</v>
      </c>
      <c r="AG40" s="194">
        <v>0.25</v>
      </c>
      <c r="AH40" s="194">
        <v>4</v>
      </c>
      <c r="AI40" s="194">
        <v>0.46700000000000003</v>
      </c>
      <c r="AJ40" s="194">
        <v>0.54500000000000004</v>
      </c>
      <c r="AK40" s="194">
        <v>11</v>
      </c>
      <c r="AL40" s="140"/>
      <c r="AM40" s="140"/>
      <c r="AN40" s="140"/>
      <c r="AO40" s="140"/>
      <c r="AP40" s="140"/>
      <c r="AQ40" s="140"/>
      <c r="AR40" s="140"/>
      <c r="AS40" s="140"/>
      <c r="AT40" s="140"/>
      <c r="AU40" s="140"/>
      <c r="AV40" s="140"/>
      <c r="AW40" s="140"/>
      <c r="AX40" s="140"/>
      <c r="AY40" s="140"/>
      <c r="AZ40" s="140"/>
      <c r="BA40" s="140"/>
      <c r="BB40" s="140"/>
      <c r="BC40" s="140"/>
      <c r="BD40" s="140"/>
      <c r="BE40" s="140"/>
      <c r="BF40" s="140"/>
      <c r="BG40" s="140"/>
      <c r="BH40" s="140"/>
      <c r="BI40" s="140"/>
    </row>
    <row r="41" spans="1:61" x14ac:dyDescent="0.3">
      <c r="A41" s="193" t="s">
        <v>542</v>
      </c>
      <c r="B41" s="194">
        <v>0.88200000000000001</v>
      </c>
      <c r="C41" s="194">
        <v>0.83299999999999996</v>
      </c>
      <c r="D41" s="194">
        <v>12</v>
      </c>
      <c r="E41" s="194">
        <v>0.90900000000000003</v>
      </c>
      <c r="F41" s="194">
        <v>1</v>
      </c>
      <c r="G41" s="194">
        <v>5</v>
      </c>
      <c r="H41" s="194">
        <v>0.94099999999999995</v>
      </c>
      <c r="I41" s="194">
        <v>1</v>
      </c>
      <c r="J41" s="194">
        <v>5</v>
      </c>
      <c r="K41" s="194">
        <v>0.88200000000000001</v>
      </c>
      <c r="L41" s="194">
        <v>0.85699999999999998</v>
      </c>
      <c r="M41" s="194">
        <v>7</v>
      </c>
      <c r="N41" s="194">
        <v>0.82599999999999996</v>
      </c>
      <c r="O41" s="194">
        <v>0.8</v>
      </c>
      <c r="P41" s="194">
        <v>5</v>
      </c>
      <c r="Q41" s="194">
        <v>0.88500000000000001</v>
      </c>
      <c r="R41" s="194">
        <v>0.81799999999999995</v>
      </c>
      <c r="S41" s="194">
        <v>11</v>
      </c>
      <c r="T41" s="194">
        <v>0.92300000000000004</v>
      </c>
      <c r="U41" s="194">
        <v>1</v>
      </c>
      <c r="V41" s="194">
        <v>10</v>
      </c>
      <c r="W41" s="194">
        <v>0.85699999999999998</v>
      </c>
      <c r="X41" s="194">
        <v>1</v>
      </c>
      <c r="Y41" s="194">
        <v>5</v>
      </c>
      <c r="Z41" s="194">
        <v>0.68400000000000005</v>
      </c>
      <c r="AA41" s="194">
        <v>0.5</v>
      </c>
      <c r="AB41" s="194">
        <v>6</v>
      </c>
      <c r="AC41" s="194">
        <v>0.65200000000000002</v>
      </c>
      <c r="AD41" s="194">
        <v>0.625</v>
      </c>
      <c r="AE41" s="194">
        <v>8</v>
      </c>
      <c r="AF41" s="194">
        <v>0.76</v>
      </c>
      <c r="AG41" s="194">
        <v>0.77800000000000002</v>
      </c>
      <c r="AH41" s="194">
        <v>9</v>
      </c>
      <c r="AI41" s="194">
        <v>0.82399999999999995</v>
      </c>
      <c r="AJ41" s="194">
        <v>0.875</v>
      </c>
      <c r="AK41" s="194">
        <v>8</v>
      </c>
      <c r="AL41" s="140"/>
      <c r="AM41" s="140"/>
      <c r="AN41" s="140"/>
      <c r="AO41" s="140"/>
      <c r="AP41" s="140"/>
      <c r="AQ41" s="140"/>
      <c r="AR41" s="140"/>
      <c r="AS41" s="140"/>
      <c r="AT41" s="140"/>
      <c r="AU41" s="140"/>
      <c r="AV41" s="140"/>
      <c r="AW41" s="140"/>
      <c r="AX41" s="140"/>
      <c r="AY41" s="140"/>
      <c r="AZ41" s="140"/>
      <c r="BA41" s="140"/>
      <c r="BB41" s="140"/>
      <c r="BC41" s="140"/>
      <c r="BD41" s="140"/>
      <c r="BE41" s="140"/>
      <c r="BF41" s="140"/>
      <c r="BG41" s="140"/>
      <c r="BH41" s="140"/>
      <c r="BI41" s="140"/>
    </row>
    <row r="42" spans="1:61" x14ac:dyDescent="0.3">
      <c r="A42" s="193" t="s">
        <v>306</v>
      </c>
      <c r="B42" s="194">
        <v>0.69399999999999995</v>
      </c>
      <c r="C42" s="194">
        <v>0.63400000000000001</v>
      </c>
      <c r="D42" s="194">
        <v>41</v>
      </c>
      <c r="E42" s="194">
        <v>0.77400000000000002</v>
      </c>
      <c r="F42" s="194">
        <v>0.77400000000000002</v>
      </c>
      <c r="G42" s="194">
        <v>31</v>
      </c>
      <c r="H42" s="194">
        <v>0.85599999999999998</v>
      </c>
      <c r="I42" s="194">
        <v>0.94099999999999995</v>
      </c>
      <c r="J42" s="194">
        <v>34</v>
      </c>
      <c r="K42" s="194">
        <v>0.877</v>
      </c>
      <c r="L42" s="194">
        <v>0.84</v>
      </c>
      <c r="M42" s="194">
        <v>25</v>
      </c>
      <c r="N42" s="194">
        <v>0.78800000000000003</v>
      </c>
      <c r="O42" s="194">
        <v>0.81799999999999995</v>
      </c>
      <c r="P42" s="194">
        <v>22</v>
      </c>
      <c r="Q42" s="194">
        <v>0.78100000000000003</v>
      </c>
      <c r="R42" s="194">
        <v>0.72699999999999998</v>
      </c>
      <c r="S42" s="194">
        <v>33</v>
      </c>
      <c r="T42" s="194">
        <v>0.72399999999999998</v>
      </c>
      <c r="U42" s="194">
        <v>0.80500000000000005</v>
      </c>
      <c r="V42" s="194">
        <v>41</v>
      </c>
      <c r="W42" s="194">
        <v>0.64300000000000002</v>
      </c>
      <c r="X42" s="194">
        <v>0.61299999999999999</v>
      </c>
      <c r="Y42" s="194">
        <v>31</v>
      </c>
      <c r="Z42" s="194">
        <v>0.54200000000000004</v>
      </c>
      <c r="AA42" s="194">
        <v>0.42299999999999999</v>
      </c>
      <c r="AB42" s="194">
        <v>26</v>
      </c>
      <c r="AC42" s="194">
        <v>0.57699999999999996</v>
      </c>
      <c r="AD42" s="194">
        <v>0.56399999999999995</v>
      </c>
      <c r="AE42" s="194">
        <v>39</v>
      </c>
      <c r="AF42" s="194">
        <v>0.61299999999999999</v>
      </c>
      <c r="AG42" s="194">
        <v>0.69199999999999995</v>
      </c>
      <c r="AH42" s="194">
        <v>39</v>
      </c>
      <c r="AI42" s="194">
        <v>0.63700000000000001</v>
      </c>
      <c r="AJ42" s="194">
        <v>0.58499999999999996</v>
      </c>
      <c r="AK42" s="194">
        <v>41</v>
      </c>
      <c r="AL42" s="140"/>
      <c r="AM42" s="140"/>
      <c r="AN42" s="140"/>
      <c r="AO42" s="140"/>
      <c r="AP42" s="140"/>
      <c r="AQ42" s="140"/>
      <c r="AR42" s="140"/>
      <c r="AS42" s="140"/>
      <c r="AT42" s="140"/>
      <c r="AU42" s="140"/>
      <c r="AV42" s="140"/>
      <c r="AW42" s="140"/>
      <c r="AX42" s="140"/>
      <c r="AY42" s="140"/>
      <c r="AZ42" s="140"/>
      <c r="BA42" s="140"/>
      <c r="BB42" s="140"/>
      <c r="BC42" s="140"/>
      <c r="BD42" s="140"/>
      <c r="BE42" s="140"/>
      <c r="BF42" s="140"/>
      <c r="BG42" s="140"/>
      <c r="BH42" s="140"/>
      <c r="BI42" s="140"/>
    </row>
    <row r="43" spans="1:61" x14ac:dyDescent="0.3">
      <c r="A43" s="193" t="s">
        <v>468</v>
      </c>
      <c r="B43" s="194">
        <v>0.83099999999999996</v>
      </c>
      <c r="C43" s="194">
        <v>0.89700000000000002</v>
      </c>
      <c r="D43" s="194">
        <v>29</v>
      </c>
      <c r="E43" s="194">
        <v>0.85899999999999999</v>
      </c>
      <c r="F43" s="194">
        <v>0.76700000000000002</v>
      </c>
      <c r="G43" s="194">
        <v>30</v>
      </c>
      <c r="H43" s="194">
        <v>0.85</v>
      </c>
      <c r="I43" s="194">
        <v>0.92300000000000004</v>
      </c>
      <c r="J43" s="194">
        <v>26</v>
      </c>
      <c r="K43" s="194">
        <v>0.83099999999999996</v>
      </c>
      <c r="L43" s="194">
        <v>0.875</v>
      </c>
      <c r="M43" s="194">
        <v>24</v>
      </c>
      <c r="N43" s="194">
        <v>0.82199999999999995</v>
      </c>
      <c r="O43" s="194">
        <v>0.70399999999999996</v>
      </c>
      <c r="P43" s="194">
        <v>27</v>
      </c>
      <c r="Q43" s="194">
        <v>0.79100000000000004</v>
      </c>
      <c r="R43" s="194">
        <v>0.90900000000000003</v>
      </c>
      <c r="S43" s="194">
        <v>22</v>
      </c>
      <c r="T43" s="194">
        <v>0.82499999999999996</v>
      </c>
      <c r="U43" s="194">
        <v>0.78400000000000003</v>
      </c>
      <c r="V43" s="194">
        <v>37</v>
      </c>
      <c r="W43" s="194">
        <v>0.77900000000000003</v>
      </c>
      <c r="X43" s="194">
        <v>0.81</v>
      </c>
      <c r="Y43" s="194">
        <v>21</v>
      </c>
      <c r="Z43" s="194">
        <v>0.77400000000000002</v>
      </c>
      <c r="AA43" s="194">
        <v>0.75700000000000001</v>
      </c>
      <c r="AB43" s="194">
        <v>37</v>
      </c>
      <c r="AC43" s="194">
        <v>0.78300000000000003</v>
      </c>
      <c r="AD43" s="194">
        <v>0.77100000000000002</v>
      </c>
      <c r="AE43" s="194">
        <v>35</v>
      </c>
      <c r="AF43" s="194">
        <v>0.72799999999999998</v>
      </c>
      <c r="AG43" s="194">
        <v>0.82399999999999995</v>
      </c>
      <c r="AH43" s="194">
        <v>34</v>
      </c>
      <c r="AI43" s="194">
        <v>0.70899999999999996</v>
      </c>
      <c r="AJ43" s="194">
        <v>0.622</v>
      </c>
      <c r="AK43" s="194">
        <v>45</v>
      </c>
      <c r="AL43" s="140"/>
      <c r="AM43" s="140"/>
      <c r="AN43" s="140"/>
      <c r="AO43" s="140"/>
      <c r="AP43" s="140"/>
      <c r="AQ43" s="140"/>
      <c r="AR43" s="140"/>
      <c r="AS43" s="140"/>
      <c r="AT43" s="140"/>
      <c r="AU43" s="140"/>
      <c r="AV43" s="140"/>
      <c r="AW43" s="140"/>
      <c r="AX43" s="140"/>
      <c r="AY43" s="140"/>
      <c r="AZ43" s="140"/>
      <c r="BA43" s="140"/>
      <c r="BB43" s="140"/>
      <c r="BC43" s="140"/>
      <c r="BD43" s="140"/>
      <c r="BE43" s="140"/>
      <c r="BF43" s="140"/>
      <c r="BG43" s="140"/>
      <c r="BH43" s="140"/>
      <c r="BI43" s="140"/>
    </row>
    <row r="44" spans="1:61" x14ac:dyDescent="0.3">
      <c r="A44" s="193" t="s">
        <v>448</v>
      </c>
      <c r="B44" s="194">
        <v>0.77400000000000002</v>
      </c>
      <c r="C44" s="194">
        <v>0.77800000000000002</v>
      </c>
      <c r="D44" s="194">
        <v>27</v>
      </c>
      <c r="E44" s="194">
        <v>0.72699999999999998</v>
      </c>
      <c r="F44" s="194">
        <v>0.76900000000000002</v>
      </c>
      <c r="G44" s="194">
        <v>26</v>
      </c>
      <c r="H44" s="194">
        <v>0.76500000000000001</v>
      </c>
      <c r="I44" s="194">
        <v>0.65700000000000003</v>
      </c>
      <c r="J44" s="194">
        <v>35</v>
      </c>
      <c r="K44" s="194">
        <v>0.76500000000000001</v>
      </c>
      <c r="L44" s="194">
        <v>0.91700000000000004</v>
      </c>
      <c r="M44" s="194">
        <v>24</v>
      </c>
      <c r="N44" s="194">
        <v>0.77900000000000003</v>
      </c>
      <c r="O44" s="194">
        <v>0.76900000000000002</v>
      </c>
      <c r="P44" s="194">
        <v>26</v>
      </c>
      <c r="Q44" s="194">
        <v>0.76900000000000002</v>
      </c>
      <c r="R44" s="194">
        <v>0.61099999999999999</v>
      </c>
      <c r="S44" s="194">
        <v>18</v>
      </c>
      <c r="T44" s="194">
        <v>0.754</v>
      </c>
      <c r="U44" s="194">
        <v>0.90500000000000003</v>
      </c>
      <c r="V44" s="194">
        <v>21</v>
      </c>
      <c r="W44" s="194">
        <v>0.73299999999999998</v>
      </c>
      <c r="X44" s="194">
        <v>0.72699999999999998</v>
      </c>
      <c r="Y44" s="194">
        <v>22</v>
      </c>
      <c r="Z44" s="194">
        <v>0.71199999999999997</v>
      </c>
      <c r="AA44" s="194">
        <v>0.625</v>
      </c>
      <c r="AB44" s="194">
        <v>32</v>
      </c>
      <c r="AC44" s="194">
        <v>0.65300000000000002</v>
      </c>
      <c r="AD44" s="194">
        <v>0.80800000000000005</v>
      </c>
      <c r="AE44" s="194">
        <v>26</v>
      </c>
      <c r="AF44" s="194">
        <v>0.61399999999999999</v>
      </c>
      <c r="AG44" s="194">
        <v>0.58099999999999996</v>
      </c>
      <c r="AH44" s="194">
        <v>43</v>
      </c>
      <c r="AI44" s="194">
        <v>0.53200000000000003</v>
      </c>
      <c r="AJ44" s="194">
        <v>0.42099999999999999</v>
      </c>
      <c r="AK44" s="194">
        <v>19</v>
      </c>
      <c r="AL44" s="140"/>
      <c r="AM44" s="140"/>
      <c r="AN44" s="140"/>
      <c r="AO44" s="140"/>
      <c r="AP44" s="140"/>
      <c r="AQ44" s="140"/>
      <c r="AR44" s="140"/>
      <c r="AS44" s="140"/>
      <c r="AT44" s="140"/>
      <c r="AU44" s="140"/>
      <c r="AV44" s="140"/>
      <c r="AW44" s="140"/>
      <c r="AX44" s="140"/>
      <c r="AY44" s="140"/>
      <c r="AZ44" s="140"/>
      <c r="BA44" s="140"/>
      <c r="BB44" s="140"/>
      <c r="BC44" s="140"/>
      <c r="BD44" s="140"/>
      <c r="BE44" s="140"/>
      <c r="BF44" s="140"/>
      <c r="BG44" s="140"/>
      <c r="BH44" s="140"/>
      <c r="BI44" s="140"/>
    </row>
    <row r="45" spans="1:61" x14ac:dyDescent="0.3">
      <c r="A45" s="193" t="s">
        <v>516</v>
      </c>
      <c r="B45" s="194">
        <v>0.89300000000000002</v>
      </c>
      <c r="C45" s="194">
        <v>0.93</v>
      </c>
      <c r="D45" s="194">
        <v>43</v>
      </c>
      <c r="E45" s="194">
        <v>0.89</v>
      </c>
      <c r="F45" s="194">
        <v>0.84399999999999997</v>
      </c>
      <c r="G45" s="194">
        <v>32</v>
      </c>
      <c r="H45" s="194">
        <v>0.83699999999999997</v>
      </c>
      <c r="I45" s="194">
        <v>0.88</v>
      </c>
      <c r="J45" s="194">
        <v>25</v>
      </c>
      <c r="K45" s="194">
        <v>0.85599999999999998</v>
      </c>
      <c r="L45" s="194">
        <v>0.8</v>
      </c>
      <c r="M45" s="194">
        <v>35</v>
      </c>
      <c r="N45" s="194">
        <v>0.85399999999999998</v>
      </c>
      <c r="O45" s="194">
        <v>0.9</v>
      </c>
      <c r="P45" s="194">
        <v>30</v>
      </c>
      <c r="Q45" s="194">
        <v>0.87</v>
      </c>
      <c r="R45" s="194">
        <v>0.86799999999999999</v>
      </c>
      <c r="S45" s="194">
        <v>38</v>
      </c>
      <c r="T45" s="194">
        <v>0.88400000000000001</v>
      </c>
      <c r="U45" s="194">
        <v>0.83299999999999996</v>
      </c>
      <c r="V45" s="194">
        <v>24</v>
      </c>
      <c r="W45" s="194">
        <v>0.878</v>
      </c>
      <c r="X45" s="194">
        <v>0.95799999999999996</v>
      </c>
      <c r="Y45" s="194">
        <v>24</v>
      </c>
      <c r="Z45" s="194">
        <v>0.85099999999999998</v>
      </c>
      <c r="AA45" s="194">
        <v>0.84599999999999997</v>
      </c>
      <c r="AB45" s="194">
        <v>26</v>
      </c>
      <c r="AC45" s="194">
        <v>0.72799999999999998</v>
      </c>
      <c r="AD45" s="194">
        <v>0.75</v>
      </c>
      <c r="AE45" s="194">
        <v>24</v>
      </c>
      <c r="AF45" s="194">
        <v>0.70099999999999996</v>
      </c>
      <c r="AG45" s="194">
        <v>0.61299999999999999</v>
      </c>
      <c r="AH45" s="194">
        <v>31</v>
      </c>
      <c r="AI45" s="194">
        <v>0.67900000000000005</v>
      </c>
      <c r="AJ45" s="194">
        <v>0.77300000000000002</v>
      </c>
      <c r="AK45" s="194">
        <v>22</v>
      </c>
      <c r="AL45" s="140"/>
      <c r="AM45" s="140"/>
      <c r="AN45" s="140"/>
      <c r="AO45" s="140"/>
      <c r="AP45" s="140"/>
      <c r="AQ45" s="140"/>
      <c r="AR45" s="140"/>
      <c r="AS45" s="140"/>
      <c r="AT45" s="140"/>
      <c r="AU45" s="140"/>
      <c r="AV45" s="140"/>
      <c r="AW45" s="140"/>
      <c r="AX45" s="140"/>
      <c r="AY45" s="140"/>
      <c r="AZ45" s="140"/>
      <c r="BA45" s="140"/>
      <c r="BB45" s="140"/>
      <c r="BC45" s="140"/>
      <c r="BD45" s="140"/>
      <c r="BE45" s="140"/>
      <c r="BF45" s="140"/>
      <c r="BG45" s="140"/>
      <c r="BH45" s="140"/>
      <c r="BI45" s="140"/>
    </row>
    <row r="46" spans="1:61" x14ac:dyDescent="0.3">
      <c r="A46" s="193" t="s">
        <v>462</v>
      </c>
      <c r="B46" s="194">
        <v>0.63900000000000001</v>
      </c>
      <c r="C46" s="194">
        <v>0.65</v>
      </c>
      <c r="D46" s="194">
        <v>20</v>
      </c>
      <c r="E46" s="194">
        <v>0.66100000000000003</v>
      </c>
      <c r="F46" s="194">
        <v>0.625</v>
      </c>
      <c r="G46" s="194">
        <v>16</v>
      </c>
      <c r="H46" s="194">
        <v>0.73</v>
      </c>
      <c r="I46" s="194">
        <v>0.69199999999999995</v>
      </c>
      <c r="J46" s="194">
        <v>26</v>
      </c>
      <c r="K46" s="194">
        <v>0.76600000000000001</v>
      </c>
      <c r="L46" s="194">
        <v>0.85699999999999998</v>
      </c>
      <c r="M46" s="194">
        <v>21</v>
      </c>
      <c r="N46" s="194">
        <v>0.71399999999999997</v>
      </c>
      <c r="O46" s="194">
        <v>0.76500000000000001</v>
      </c>
      <c r="P46" s="194">
        <v>17</v>
      </c>
      <c r="Q46" s="194">
        <v>0.67500000000000004</v>
      </c>
      <c r="R46" s="194">
        <v>0.59399999999999997</v>
      </c>
      <c r="S46" s="194">
        <v>32</v>
      </c>
      <c r="T46" s="194">
        <v>0.69199999999999995</v>
      </c>
      <c r="U46" s="194">
        <v>0.71399999999999997</v>
      </c>
      <c r="V46" s="194">
        <v>28</v>
      </c>
      <c r="W46" s="194">
        <v>0.69499999999999995</v>
      </c>
      <c r="X46" s="194">
        <v>0.77400000000000002</v>
      </c>
      <c r="Y46" s="194">
        <v>31</v>
      </c>
      <c r="Z46" s="194">
        <v>0.63300000000000001</v>
      </c>
      <c r="AA46" s="194">
        <v>0.56499999999999995</v>
      </c>
      <c r="AB46" s="194">
        <v>23</v>
      </c>
      <c r="AC46" s="194">
        <v>0.48099999999999998</v>
      </c>
      <c r="AD46" s="194">
        <v>0.52</v>
      </c>
      <c r="AE46" s="194">
        <v>25</v>
      </c>
      <c r="AF46" s="194">
        <v>0.43</v>
      </c>
      <c r="AG46" s="194">
        <v>0.379</v>
      </c>
      <c r="AH46" s="194">
        <v>29</v>
      </c>
      <c r="AI46" s="194">
        <v>0.38900000000000001</v>
      </c>
      <c r="AJ46" s="194">
        <v>0.4</v>
      </c>
      <c r="AK46" s="194">
        <v>25</v>
      </c>
      <c r="AL46" s="140"/>
      <c r="AM46" s="140"/>
      <c r="AN46" s="140"/>
      <c r="AO46" s="140"/>
      <c r="AP46" s="140"/>
      <c r="AQ46" s="140"/>
      <c r="AR46" s="140"/>
      <c r="AS46" s="140"/>
      <c r="AT46" s="140"/>
      <c r="AU46" s="140"/>
      <c r="AV46" s="140"/>
      <c r="AW46" s="140"/>
      <c r="AX46" s="140"/>
      <c r="AY46" s="140"/>
      <c r="AZ46" s="140"/>
      <c r="BA46" s="140"/>
      <c r="BB46" s="140"/>
      <c r="BC46" s="140"/>
      <c r="BD46" s="140"/>
      <c r="BE46" s="140"/>
      <c r="BF46" s="140"/>
      <c r="BG46" s="140"/>
      <c r="BH46" s="140"/>
      <c r="BI46" s="140"/>
    </row>
    <row r="47" spans="1:61" x14ac:dyDescent="0.3">
      <c r="A47" s="193" t="s">
        <v>442</v>
      </c>
      <c r="B47" s="194">
        <v>0.85399999999999998</v>
      </c>
      <c r="C47" s="194">
        <v>0.86699999999999999</v>
      </c>
      <c r="D47" s="194">
        <v>15</v>
      </c>
      <c r="E47" s="194">
        <v>0.85199999999999998</v>
      </c>
      <c r="F47" s="194">
        <v>0.84599999999999997</v>
      </c>
      <c r="G47" s="194">
        <v>26</v>
      </c>
      <c r="H47" s="194">
        <v>0.81299999999999994</v>
      </c>
      <c r="I47" s="194">
        <v>0.85</v>
      </c>
      <c r="J47" s="194">
        <v>20</v>
      </c>
      <c r="K47" s="194">
        <v>0.82</v>
      </c>
      <c r="L47" s="194">
        <v>0.72199999999999998</v>
      </c>
      <c r="M47" s="194">
        <v>18</v>
      </c>
      <c r="N47" s="194">
        <v>0.77800000000000002</v>
      </c>
      <c r="O47" s="194">
        <v>0.91700000000000004</v>
      </c>
      <c r="P47" s="194">
        <v>12</v>
      </c>
      <c r="Q47" s="194">
        <v>0.82</v>
      </c>
      <c r="R47" s="194">
        <v>0.73299999999999998</v>
      </c>
      <c r="S47" s="194">
        <v>15</v>
      </c>
      <c r="T47" s="194">
        <v>0.82</v>
      </c>
      <c r="U47" s="194">
        <v>0.82599999999999996</v>
      </c>
      <c r="V47" s="194">
        <v>23</v>
      </c>
      <c r="W47" s="194">
        <v>0.82099999999999995</v>
      </c>
      <c r="X47" s="194">
        <v>0.87</v>
      </c>
      <c r="Y47" s="194">
        <v>23</v>
      </c>
      <c r="Z47" s="194">
        <v>0.76300000000000001</v>
      </c>
      <c r="AA47" s="194">
        <v>0.76200000000000001</v>
      </c>
      <c r="AB47" s="194">
        <v>21</v>
      </c>
      <c r="AC47" s="194">
        <v>0.68600000000000005</v>
      </c>
      <c r="AD47" s="194">
        <v>0.6</v>
      </c>
      <c r="AE47" s="194">
        <v>15</v>
      </c>
      <c r="AF47" s="194">
        <v>0.72199999999999998</v>
      </c>
      <c r="AG47" s="194">
        <v>0.66700000000000004</v>
      </c>
      <c r="AH47" s="194">
        <v>15</v>
      </c>
      <c r="AI47" s="194">
        <v>0.76900000000000002</v>
      </c>
      <c r="AJ47" s="194">
        <v>0.83299999999999996</v>
      </c>
      <c r="AK47" s="194">
        <v>24</v>
      </c>
      <c r="AL47" s="140"/>
      <c r="AM47" s="140"/>
      <c r="AN47" s="140"/>
      <c r="AO47" s="140"/>
      <c r="AP47" s="140"/>
      <c r="AQ47" s="140"/>
      <c r="AR47" s="140"/>
      <c r="AS47" s="140"/>
      <c r="AT47" s="140"/>
      <c r="AU47" s="140"/>
      <c r="AV47" s="140"/>
      <c r="AW47" s="140"/>
      <c r="AX47" s="140"/>
      <c r="AY47" s="140"/>
      <c r="AZ47" s="140"/>
      <c r="BA47" s="140"/>
      <c r="BB47" s="140"/>
      <c r="BC47" s="140"/>
      <c r="BD47" s="140"/>
      <c r="BE47" s="140"/>
      <c r="BF47" s="140"/>
      <c r="BG47" s="140"/>
      <c r="BH47" s="140"/>
      <c r="BI47" s="140"/>
    </row>
    <row r="48" spans="1:61" x14ac:dyDescent="0.3">
      <c r="A48" s="193" t="s">
        <v>444</v>
      </c>
      <c r="B48" s="194">
        <v>0.86699999999999999</v>
      </c>
      <c r="C48" s="194">
        <v>0.86199999999999999</v>
      </c>
      <c r="D48" s="194">
        <v>29</v>
      </c>
      <c r="E48" s="194">
        <v>0.86399999999999999</v>
      </c>
      <c r="F48" s="194">
        <v>0.875</v>
      </c>
      <c r="G48" s="194">
        <v>16</v>
      </c>
      <c r="H48" s="194">
        <v>0.89700000000000002</v>
      </c>
      <c r="I48" s="194">
        <v>0.85699999999999998</v>
      </c>
      <c r="J48" s="194">
        <v>21</v>
      </c>
      <c r="K48" s="194">
        <v>0.90900000000000003</v>
      </c>
      <c r="L48" s="194">
        <v>0.95199999999999996</v>
      </c>
      <c r="M48" s="194">
        <v>21</v>
      </c>
      <c r="N48" s="194">
        <v>0.92600000000000005</v>
      </c>
      <c r="O48" s="194">
        <v>0.91700000000000004</v>
      </c>
      <c r="P48" s="194">
        <v>24</v>
      </c>
      <c r="Q48" s="194">
        <v>0.91</v>
      </c>
      <c r="R48" s="194">
        <v>0.91300000000000003</v>
      </c>
      <c r="S48" s="194">
        <v>23</v>
      </c>
      <c r="T48" s="194">
        <v>0.91500000000000004</v>
      </c>
      <c r="U48" s="194">
        <v>0.9</v>
      </c>
      <c r="V48" s="194">
        <v>20</v>
      </c>
      <c r="W48" s="194">
        <v>0.85199999999999998</v>
      </c>
      <c r="X48" s="194">
        <v>0.93799999999999994</v>
      </c>
      <c r="Y48" s="194">
        <v>16</v>
      </c>
      <c r="Z48" s="194">
        <v>0.81299999999999994</v>
      </c>
      <c r="AA48" s="194">
        <v>0.72199999999999998</v>
      </c>
      <c r="AB48" s="194">
        <v>18</v>
      </c>
      <c r="AC48" s="194">
        <v>0.72099999999999997</v>
      </c>
      <c r="AD48" s="194">
        <v>0.78600000000000003</v>
      </c>
      <c r="AE48" s="194">
        <v>14</v>
      </c>
      <c r="AF48" s="194">
        <v>0.80900000000000005</v>
      </c>
      <c r="AG48" s="194">
        <v>0.63600000000000001</v>
      </c>
      <c r="AH48" s="194">
        <v>11</v>
      </c>
      <c r="AI48" s="194">
        <v>0.81799999999999995</v>
      </c>
      <c r="AJ48" s="194">
        <v>0.90900000000000003</v>
      </c>
      <c r="AK48" s="194">
        <v>22</v>
      </c>
      <c r="AL48" s="140"/>
      <c r="AM48" s="140"/>
      <c r="AN48" s="140"/>
      <c r="AO48" s="140"/>
      <c r="AP48" s="140"/>
      <c r="AQ48" s="140"/>
      <c r="AR48" s="140"/>
      <c r="AS48" s="140"/>
      <c r="AT48" s="140"/>
      <c r="AU48" s="140"/>
      <c r="AV48" s="140"/>
      <c r="AW48" s="140"/>
      <c r="AX48" s="140"/>
      <c r="AY48" s="140"/>
      <c r="AZ48" s="140"/>
      <c r="BA48" s="140"/>
      <c r="BB48" s="140"/>
      <c r="BC48" s="140"/>
      <c r="BD48" s="140"/>
      <c r="BE48" s="140"/>
      <c r="BF48" s="140"/>
      <c r="BG48" s="140"/>
      <c r="BH48" s="140"/>
      <c r="BI48" s="140"/>
    </row>
    <row r="49" spans="1:61" x14ac:dyDescent="0.3">
      <c r="A49" s="193" t="s">
        <v>364</v>
      </c>
      <c r="B49" s="194">
        <v>0.34100000000000003</v>
      </c>
      <c r="C49" s="194">
        <v>0.158</v>
      </c>
      <c r="D49" s="194">
        <v>19</v>
      </c>
      <c r="E49" s="194">
        <v>0.49199999999999999</v>
      </c>
      <c r="F49" s="194">
        <v>0.5</v>
      </c>
      <c r="G49" s="194">
        <v>22</v>
      </c>
      <c r="H49" s="194">
        <v>0.65500000000000003</v>
      </c>
      <c r="I49" s="194">
        <v>0.8</v>
      </c>
      <c r="J49" s="194">
        <v>20</v>
      </c>
      <c r="K49" s="194">
        <v>0.77600000000000002</v>
      </c>
      <c r="L49" s="194">
        <v>0.68799999999999994</v>
      </c>
      <c r="M49" s="194">
        <v>16</v>
      </c>
      <c r="N49" s="194">
        <v>0.746</v>
      </c>
      <c r="O49" s="194">
        <v>0.81799999999999995</v>
      </c>
      <c r="P49" s="194">
        <v>22</v>
      </c>
      <c r="Q49" s="194">
        <v>0.81299999999999994</v>
      </c>
      <c r="R49" s="194">
        <v>0.72</v>
      </c>
      <c r="S49" s="194">
        <v>25</v>
      </c>
      <c r="T49" s="194">
        <v>0.81499999999999995</v>
      </c>
      <c r="U49" s="194">
        <v>0.89300000000000002</v>
      </c>
      <c r="V49" s="194">
        <v>28</v>
      </c>
      <c r="W49" s="194">
        <v>0.77400000000000002</v>
      </c>
      <c r="X49" s="194">
        <v>0.82099999999999995</v>
      </c>
      <c r="Y49" s="194">
        <v>28</v>
      </c>
      <c r="Z49" s="194">
        <v>0.68799999999999994</v>
      </c>
      <c r="AA49" s="194">
        <v>0.60699999999999998</v>
      </c>
      <c r="AB49" s="194">
        <v>28</v>
      </c>
      <c r="AC49" s="194">
        <v>0.46700000000000003</v>
      </c>
      <c r="AD49" s="194">
        <v>0.625</v>
      </c>
      <c r="AE49" s="194">
        <v>24</v>
      </c>
      <c r="AF49" s="194">
        <v>0.36799999999999999</v>
      </c>
      <c r="AG49" s="194">
        <v>0.26300000000000001</v>
      </c>
      <c r="AH49" s="194">
        <v>38</v>
      </c>
      <c r="AI49" s="194">
        <v>0.27</v>
      </c>
      <c r="AJ49" s="194">
        <v>0.28000000000000003</v>
      </c>
      <c r="AK49" s="194">
        <v>25</v>
      </c>
      <c r="AL49" s="140"/>
      <c r="AM49" s="140"/>
      <c r="AN49" s="140"/>
      <c r="AO49" s="140"/>
      <c r="AP49" s="140"/>
      <c r="AQ49" s="140"/>
      <c r="AR49" s="140"/>
      <c r="AS49" s="140"/>
      <c r="AT49" s="140"/>
      <c r="AU49" s="140"/>
      <c r="AV49" s="140"/>
      <c r="AW49" s="140"/>
      <c r="AX49" s="140"/>
      <c r="AY49" s="140"/>
      <c r="AZ49" s="140"/>
      <c r="BA49" s="140"/>
      <c r="BB49" s="140"/>
      <c r="BC49" s="140"/>
      <c r="BD49" s="140"/>
      <c r="BE49" s="140"/>
      <c r="BF49" s="140"/>
      <c r="BG49" s="140"/>
      <c r="BH49" s="140"/>
      <c r="BI49" s="140"/>
    </row>
    <row r="50" spans="1:61" x14ac:dyDescent="0.3">
      <c r="A50" s="193" t="s">
        <v>392</v>
      </c>
      <c r="B50" s="194">
        <v>0.89500000000000002</v>
      </c>
      <c r="C50" s="194">
        <v>0.88900000000000001</v>
      </c>
      <c r="D50" s="194">
        <v>9</v>
      </c>
      <c r="E50" s="194">
        <v>0.91300000000000003</v>
      </c>
      <c r="F50" s="194">
        <v>0.9</v>
      </c>
      <c r="G50" s="194">
        <v>10</v>
      </c>
      <c r="H50" s="194">
        <v>0.95499999999999996</v>
      </c>
      <c r="I50" s="194">
        <v>1</v>
      </c>
      <c r="J50" s="194">
        <v>4</v>
      </c>
      <c r="K50" s="194">
        <v>0.94099999999999995</v>
      </c>
      <c r="L50" s="194">
        <v>1</v>
      </c>
      <c r="M50" s="194">
        <v>8</v>
      </c>
      <c r="N50" s="194">
        <v>0.95</v>
      </c>
      <c r="O50" s="194">
        <v>0.8</v>
      </c>
      <c r="P50" s="194">
        <v>5</v>
      </c>
      <c r="Q50" s="194">
        <v>0.9</v>
      </c>
      <c r="R50" s="194">
        <v>1</v>
      </c>
      <c r="S50" s="194">
        <v>7</v>
      </c>
      <c r="T50" s="194">
        <v>0.84</v>
      </c>
      <c r="U50" s="194">
        <v>0.875</v>
      </c>
      <c r="V50" s="194">
        <v>8</v>
      </c>
      <c r="W50" s="194">
        <v>0.76900000000000002</v>
      </c>
      <c r="X50" s="194">
        <v>0.7</v>
      </c>
      <c r="Y50" s="194">
        <v>10</v>
      </c>
      <c r="Z50" s="194">
        <v>0.64</v>
      </c>
      <c r="AA50" s="194">
        <v>0.75</v>
      </c>
      <c r="AB50" s="194">
        <v>8</v>
      </c>
      <c r="AC50" s="194">
        <v>0.72199999999999998</v>
      </c>
      <c r="AD50" s="194">
        <v>0.42899999999999999</v>
      </c>
      <c r="AE50" s="194">
        <v>7</v>
      </c>
      <c r="AF50" s="194">
        <v>0.72299999999999998</v>
      </c>
      <c r="AG50" s="194">
        <v>0.81</v>
      </c>
      <c r="AH50" s="194">
        <v>21</v>
      </c>
      <c r="AI50" s="194">
        <v>0.77500000000000002</v>
      </c>
      <c r="AJ50" s="194">
        <v>0.73699999999999999</v>
      </c>
      <c r="AK50" s="194">
        <v>19</v>
      </c>
      <c r="AL50" s="140"/>
      <c r="AM50" s="140"/>
      <c r="AN50" s="140"/>
      <c r="AO50" s="140"/>
      <c r="AP50" s="140"/>
      <c r="AQ50" s="140"/>
      <c r="AR50" s="140"/>
      <c r="AS50" s="140"/>
      <c r="AT50" s="140"/>
      <c r="AU50" s="140"/>
      <c r="AV50" s="140"/>
      <c r="AW50" s="140"/>
      <c r="AX50" s="140"/>
      <c r="AY50" s="140"/>
      <c r="AZ50" s="140"/>
      <c r="BA50" s="140"/>
      <c r="BB50" s="140"/>
      <c r="BC50" s="140"/>
      <c r="BD50" s="140"/>
      <c r="BE50" s="140"/>
      <c r="BF50" s="140"/>
      <c r="BG50" s="140"/>
      <c r="BH50" s="140"/>
      <c r="BI50" s="140"/>
    </row>
    <row r="51" spans="1:61" x14ac:dyDescent="0.3">
      <c r="A51" s="193" t="s">
        <v>325</v>
      </c>
      <c r="B51" s="194">
        <v>0.33300000000000002</v>
      </c>
      <c r="C51" s="194"/>
      <c r="D51" s="194"/>
      <c r="E51" s="194">
        <v>0.5</v>
      </c>
      <c r="F51" s="194">
        <v>0.33300000000000002</v>
      </c>
      <c r="G51" s="194">
        <v>3</v>
      </c>
      <c r="H51" s="194">
        <v>0.57099999999999995</v>
      </c>
      <c r="I51" s="194">
        <v>0.66700000000000004</v>
      </c>
      <c r="J51" s="194">
        <v>3</v>
      </c>
      <c r="K51" s="194">
        <v>0.71399999999999997</v>
      </c>
      <c r="L51" s="194">
        <v>1</v>
      </c>
      <c r="M51" s="194">
        <v>1</v>
      </c>
      <c r="N51" s="194">
        <v>0.75</v>
      </c>
      <c r="O51" s="194">
        <v>0.66700000000000004</v>
      </c>
      <c r="P51" s="194">
        <v>3</v>
      </c>
      <c r="Q51" s="194">
        <v>0.8</v>
      </c>
      <c r="R51" s="194">
        <v>0.75</v>
      </c>
      <c r="S51" s="194">
        <v>4</v>
      </c>
      <c r="T51" s="194">
        <v>0.75</v>
      </c>
      <c r="U51" s="194">
        <v>1</v>
      </c>
      <c r="V51" s="194">
        <v>3</v>
      </c>
      <c r="W51" s="194">
        <v>0.66700000000000004</v>
      </c>
      <c r="X51" s="194">
        <v>0</v>
      </c>
      <c r="Y51" s="194">
        <v>1</v>
      </c>
      <c r="Z51" s="194">
        <v>0.5</v>
      </c>
      <c r="AA51" s="194">
        <v>0.5</v>
      </c>
      <c r="AB51" s="194">
        <v>2</v>
      </c>
      <c r="AC51" s="194">
        <v>0.5</v>
      </c>
      <c r="AD51" s="194">
        <v>0.66700000000000004</v>
      </c>
      <c r="AE51" s="194">
        <v>3</v>
      </c>
      <c r="AF51" s="194">
        <v>0.66700000000000004</v>
      </c>
      <c r="AG51" s="194">
        <v>0</v>
      </c>
      <c r="AH51" s="194">
        <v>1</v>
      </c>
      <c r="AI51" s="194">
        <v>0.66700000000000004</v>
      </c>
      <c r="AJ51" s="194">
        <v>1</v>
      </c>
      <c r="AK51" s="194">
        <v>2</v>
      </c>
      <c r="AL51" s="140"/>
      <c r="AM51" s="140"/>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row>
    <row r="52" spans="1:61" x14ac:dyDescent="0.3">
      <c r="A52" s="193" t="s">
        <v>478</v>
      </c>
      <c r="B52" s="194">
        <v>0.17299999999999999</v>
      </c>
      <c r="C52" s="194">
        <v>8.3000000000000004E-2</v>
      </c>
      <c r="D52" s="194">
        <v>24</v>
      </c>
      <c r="E52" s="194">
        <v>0.214</v>
      </c>
      <c r="F52" s="194">
        <v>0.25</v>
      </c>
      <c r="G52" s="194">
        <v>28</v>
      </c>
      <c r="H52" s="194">
        <v>0.39400000000000002</v>
      </c>
      <c r="I52" s="194">
        <v>0.33300000000000002</v>
      </c>
      <c r="J52" s="194">
        <v>18</v>
      </c>
      <c r="K52" s="194">
        <v>0.58799999999999997</v>
      </c>
      <c r="L52" s="194">
        <v>0.65</v>
      </c>
      <c r="M52" s="194">
        <v>20</v>
      </c>
      <c r="N52" s="194">
        <v>0.71699999999999997</v>
      </c>
      <c r="O52" s="194">
        <v>0.84599999999999997</v>
      </c>
      <c r="P52" s="194">
        <v>13</v>
      </c>
      <c r="Q52" s="194">
        <v>0.80400000000000005</v>
      </c>
      <c r="R52" s="194">
        <v>0.7</v>
      </c>
      <c r="S52" s="194">
        <v>20</v>
      </c>
      <c r="T52" s="194">
        <v>0.82</v>
      </c>
      <c r="U52" s="194">
        <v>0.87</v>
      </c>
      <c r="V52" s="194">
        <v>23</v>
      </c>
      <c r="W52" s="194">
        <v>0.85199999999999998</v>
      </c>
      <c r="X52" s="194">
        <v>0.88900000000000001</v>
      </c>
      <c r="Y52" s="194">
        <v>18</v>
      </c>
      <c r="Z52" s="194">
        <v>0.73799999999999999</v>
      </c>
      <c r="AA52" s="194">
        <v>0.76900000000000002</v>
      </c>
      <c r="AB52" s="194">
        <v>13</v>
      </c>
      <c r="AC52" s="194">
        <v>0.71899999999999997</v>
      </c>
      <c r="AD52" s="194">
        <v>0.63300000000000001</v>
      </c>
      <c r="AE52" s="194">
        <v>30</v>
      </c>
      <c r="AF52" s="194">
        <v>0.75900000000000001</v>
      </c>
      <c r="AG52" s="194">
        <v>0.81</v>
      </c>
      <c r="AH52" s="194">
        <v>21</v>
      </c>
      <c r="AI52" s="194">
        <v>0.83</v>
      </c>
      <c r="AJ52" s="194">
        <v>0.84399999999999997</v>
      </c>
      <c r="AK52" s="194">
        <v>32</v>
      </c>
      <c r="AL52" s="140"/>
      <c r="AM52" s="140"/>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row>
    <row r="53" spans="1:61" x14ac:dyDescent="0.3">
      <c r="A53" s="193" t="s">
        <v>474</v>
      </c>
      <c r="B53" s="194">
        <v>0.8</v>
      </c>
      <c r="C53" s="194">
        <v>0.76900000000000002</v>
      </c>
      <c r="D53" s="194">
        <v>13</v>
      </c>
      <c r="E53" s="194">
        <v>0.86099999999999999</v>
      </c>
      <c r="F53" s="194">
        <v>0.83299999999999996</v>
      </c>
      <c r="G53" s="194">
        <v>12</v>
      </c>
      <c r="H53" s="194">
        <v>0.88600000000000001</v>
      </c>
      <c r="I53" s="194">
        <v>1</v>
      </c>
      <c r="J53" s="194">
        <v>11</v>
      </c>
      <c r="K53" s="194">
        <v>0.82399999999999995</v>
      </c>
      <c r="L53" s="194">
        <v>0.83299999999999996</v>
      </c>
      <c r="M53" s="194">
        <v>12</v>
      </c>
      <c r="N53" s="194">
        <v>0.74199999999999999</v>
      </c>
      <c r="O53" s="194">
        <v>0.63600000000000001</v>
      </c>
      <c r="P53" s="194">
        <v>11</v>
      </c>
      <c r="Q53" s="194">
        <v>0.69199999999999995</v>
      </c>
      <c r="R53" s="194">
        <v>0.75</v>
      </c>
      <c r="S53" s="194">
        <v>8</v>
      </c>
      <c r="T53" s="194">
        <v>0.75</v>
      </c>
      <c r="U53" s="194">
        <v>0.71399999999999997</v>
      </c>
      <c r="V53" s="194">
        <v>7</v>
      </c>
      <c r="W53" s="194">
        <v>0.58599999999999997</v>
      </c>
      <c r="X53" s="194">
        <v>0.77800000000000002</v>
      </c>
      <c r="Y53" s="194">
        <v>9</v>
      </c>
      <c r="Z53" s="194">
        <v>0.63300000000000001</v>
      </c>
      <c r="AA53" s="194">
        <v>0.38500000000000001</v>
      </c>
      <c r="AB53" s="194">
        <v>13</v>
      </c>
      <c r="AC53" s="194">
        <v>0.6</v>
      </c>
      <c r="AD53" s="194">
        <v>0.875</v>
      </c>
      <c r="AE53" s="194">
        <v>8</v>
      </c>
      <c r="AF53" s="194">
        <v>0.69</v>
      </c>
      <c r="AG53" s="194">
        <v>0.66700000000000004</v>
      </c>
      <c r="AH53" s="194">
        <v>9</v>
      </c>
      <c r="AI53" s="194">
        <v>0.61899999999999999</v>
      </c>
      <c r="AJ53" s="194">
        <v>0.58299999999999996</v>
      </c>
      <c r="AK53" s="194">
        <v>12</v>
      </c>
      <c r="AL53" s="140"/>
      <c r="AM53" s="140"/>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row>
    <row r="54" spans="1:61" x14ac:dyDescent="0.3">
      <c r="A54" s="193" t="s">
        <v>532</v>
      </c>
      <c r="B54" s="194">
        <v>0.85399999999999998</v>
      </c>
      <c r="C54" s="194">
        <v>0.92600000000000005</v>
      </c>
      <c r="D54" s="194">
        <v>27</v>
      </c>
      <c r="E54" s="194">
        <v>0.86399999999999999</v>
      </c>
      <c r="F54" s="194">
        <v>0.76200000000000001</v>
      </c>
      <c r="G54" s="194">
        <v>21</v>
      </c>
      <c r="H54" s="194">
        <v>0.83499999999999996</v>
      </c>
      <c r="I54" s="194">
        <v>0.875</v>
      </c>
      <c r="J54" s="194">
        <v>40</v>
      </c>
      <c r="K54" s="194">
        <v>0.877</v>
      </c>
      <c r="L54" s="194">
        <v>0.83299999999999996</v>
      </c>
      <c r="M54" s="194">
        <v>24</v>
      </c>
      <c r="N54" s="194">
        <v>0.89200000000000002</v>
      </c>
      <c r="O54" s="194">
        <v>0.94099999999999995</v>
      </c>
      <c r="P54" s="194">
        <v>17</v>
      </c>
      <c r="Q54" s="194">
        <v>0.89400000000000002</v>
      </c>
      <c r="R54" s="194">
        <v>0.91700000000000004</v>
      </c>
      <c r="S54" s="194">
        <v>24</v>
      </c>
      <c r="T54" s="194">
        <v>0.83799999999999997</v>
      </c>
      <c r="U54" s="194">
        <v>0.84</v>
      </c>
      <c r="V54" s="194">
        <v>25</v>
      </c>
      <c r="W54" s="194">
        <v>0.73699999999999999</v>
      </c>
      <c r="X54" s="194">
        <v>0.73699999999999999</v>
      </c>
      <c r="Y54" s="194">
        <v>19</v>
      </c>
      <c r="Z54" s="194">
        <v>0.71199999999999997</v>
      </c>
      <c r="AA54" s="194">
        <v>0.53800000000000003</v>
      </c>
      <c r="AB54" s="194">
        <v>13</v>
      </c>
      <c r="AC54" s="194">
        <v>0.72899999999999998</v>
      </c>
      <c r="AD54" s="194">
        <v>0.77800000000000002</v>
      </c>
      <c r="AE54" s="194">
        <v>27</v>
      </c>
      <c r="AF54" s="194">
        <v>0.75600000000000001</v>
      </c>
      <c r="AG54" s="194">
        <v>0.76700000000000002</v>
      </c>
      <c r="AH54" s="194">
        <v>30</v>
      </c>
      <c r="AI54" s="194">
        <v>0.746</v>
      </c>
      <c r="AJ54" s="194">
        <v>0.72699999999999998</v>
      </c>
      <c r="AK54" s="194">
        <v>33</v>
      </c>
      <c r="AL54" s="140"/>
      <c r="AM54" s="140"/>
      <c r="AN54" s="140"/>
      <c r="AO54" s="140"/>
      <c r="AP54" s="140"/>
      <c r="AQ54" s="140"/>
      <c r="AR54" s="140"/>
      <c r="AS54" s="140"/>
      <c r="AT54" s="140"/>
      <c r="AU54" s="140"/>
      <c r="AV54" s="140"/>
      <c r="AW54" s="140"/>
      <c r="AX54" s="140"/>
      <c r="AY54" s="140"/>
      <c r="AZ54" s="140"/>
      <c r="BA54" s="140"/>
      <c r="BB54" s="140"/>
      <c r="BC54" s="140"/>
      <c r="BD54" s="140"/>
      <c r="BE54" s="140"/>
      <c r="BF54" s="140"/>
      <c r="BG54" s="140"/>
      <c r="BH54" s="140"/>
      <c r="BI54" s="140"/>
    </row>
    <row r="55" spans="1:61" x14ac:dyDescent="0.3">
      <c r="A55" s="193" t="s">
        <v>429</v>
      </c>
      <c r="B55" s="194">
        <v>0.82899999999999996</v>
      </c>
      <c r="C55" s="194">
        <v>0.8</v>
      </c>
      <c r="D55" s="194">
        <v>20</v>
      </c>
      <c r="E55" s="194">
        <v>0.879</v>
      </c>
      <c r="F55" s="194">
        <v>0.85699999999999998</v>
      </c>
      <c r="G55" s="194">
        <v>21</v>
      </c>
      <c r="H55" s="194">
        <v>0.92100000000000004</v>
      </c>
      <c r="I55" s="194">
        <v>0.96</v>
      </c>
      <c r="J55" s="194">
        <v>25</v>
      </c>
      <c r="K55" s="194">
        <v>0.93700000000000006</v>
      </c>
      <c r="L55" s="194">
        <v>0.94099999999999995</v>
      </c>
      <c r="M55" s="194">
        <v>17</v>
      </c>
      <c r="N55" s="194">
        <v>0.873</v>
      </c>
      <c r="O55" s="194">
        <v>0.90500000000000003</v>
      </c>
      <c r="P55" s="194">
        <v>21</v>
      </c>
      <c r="Q55" s="194">
        <v>0.88600000000000001</v>
      </c>
      <c r="R55" s="194">
        <v>0.8</v>
      </c>
      <c r="S55" s="194">
        <v>25</v>
      </c>
      <c r="T55" s="194">
        <v>0.86799999999999999</v>
      </c>
      <c r="U55" s="194">
        <v>0.95799999999999996</v>
      </c>
      <c r="V55" s="194">
        <v>24</v>
      </c>
      <c r="W55" s="194">
        <v>0.873</v>
      </c>
      <c r="X55" s="194">
        <v>0.84199999999999997</v>
      </c>
      <c r="Y55" s="194">
        <v>19</v>
      </c>
      <c r="Z55" s="194">
        <v>0.79700000000000004</v>
      </c>
      <c r="AA55" s="194">
        <v>0.83299999999999996</v>
      </c>
      <c r="AB55" s="194">
        <v>36</v>
      </c>
      <c r="AC55" s="194">
        <v>0.74399999999999999</v>
      </c>
      <c r="AD55" s="194">
        <v>0.70799999999999996</v>
      </c>
      <c r="AE55" s="194">
        <v>24</v>
      </c>
      <c r="AF55" s="194">
        <v>0.747</v>
      </c>
      <c r="AG55" s="194">
        <v>0.66700000000000004</v>
      </c>
      <c r="AH55" s="194">
        <v>30</v>
      </c>
      <c r="AI55" s="194">
        <v>0.76200000000000001</v>
      </c>
      <c r="AJ55" s="194">
        <v>0.84799999999999998</v>
      </c>
      <c r="AK55" s="194">
        <v>33</v>
      </c>
      <c r="AL55" s="140"/>
      <c r="AM55" s="140"/>
      <c r="AN55" s="140"/>
      <c r="AO55" s="140"/>
      <c r="AP55" s="140"/>
      <c r="AQ55" s="140"/>
      <c r="AR55" s="140"/>
      <c r="AS55" s="140"/>
      <c r="AT55" s="140"/>
      <c r="AU55" s="140"/>
      <c r="AV55" s="140"/>
      <c r="AW55" s="140"/>
      <c r="AX55" s="140"/>
      <c r="AY55" s="140"/>
      <c r="AZ55" s="140"/>
      <c r="BA55" s="140"/>
      <c r="BB55" s="140"/>
      <c r="BC55" s="140"/>
      <c r="BD55" s="140"/>
      <c r="BE55" s="140"/>
      <c r="BF55" s="140"/>
      <c r="BG55" s="140"/>
      <c r="BH55" s="140"/>
      <c r="BI55" s="140"/>
    </row>
    <row r="56" spans="1:61" x14ac:dyDescent="0.3">
      <c r="A56" s="193" t="s">
        <v>339</v>
      </c>
      <c r="B56" s="194">
        <v>0.85699999999999998</v>
      </c>
      <c r="C56" s="194">
        <v>0.77800000000000002</v>
      </c>
      <c r="D56" s="194">
        <v>9</v>
      </c>
      <c r="E56" s="194">
        <v>0.84199999999999997</v>
      </c>
      <c r="F56" s="194">
        <v>1</v>
      </c>
      <c r="G56" s="194">
        <v>5</v>
      </c>
      <c r="H56" s="194">
        <v>0.92300000000000004</v>
      </c>
      <c r="I56" s="194">
        <v>0.8</v>
      </c>
      <c r="J56" s="194">
        <v>5</v>
      </c>
      <c r="K56" s="194">
        <v>0.83299999999999996</v>
      </c>
      <c r="L56" s="194">
        <v>1</v>
      </c>
      <c r="M56" s="194">
        <v>3</v>
      </c>
      <c r="N56" s="194">
        <v>0.88900000000000001</v>
      </c>
      <c r="O56" s="194">
        <v>0.75</v>
      </c>
      <c r="P56" s="194">
        <v>4</v>
      </c>
      <c r="Q56" s="194">
        <v>0.77800000000000002</v>
      </c>
      <c r="R56" s="194">
        <v>1</v>
      </c>
      <c r="S56" s="194">
        <v>2</v>
      </c>
      <c r="T56" s="194">
        <v>0.7</v>
      </c>
      <c r="U56" s="194">
        <v>0.66700000000000004</v>
      </c>
      <c r="V56" s="194">
        <v>3</v>
      </c>
      <c r="W56" s="194">
        <v>0.68799999999999994</v>
      </c>
      <c r="X56" s="194">
        <v>0.6</v>
      </c>
      <c r="Y56" s="194">
        <v>5</v>
      </c>
      <c r="Z56" s="194">
        <v>0.66700000000000004</v>
      </c>
      <c r="AA56" s="194">
        <v>0.75</v>
      </c>
      <c r="AB56" s="194">
        <v>8</v>
      </c>
      <c r="AC56" s="194">
        <v>0.70799999999999996</v>
      </c>
      <c r="AD56" s="194">
        <v>0.6</v>
      </c>
      <c r="AE56" s="194">
        <v>5</v>
      </c>
      <c r="AF56" s="194">
        <v>0.81499999999999995</v>
      </c>
      <c r="AG56" s="194">
        <v>0.72699999999999998</v>
      </c>
      <c r="AH56" s="194">
        <v>11</v>
      </c>
      <c r="AI56" s="194">
        <v>0.86399999999999999</v>
      </c>
      <c r="AJ56" s="194">
        <v>1</v>
      </c>
      <c r="AK56" s="194">
        <v>11</v>
      </c>
      <c r="AL56" s="140"/>
      <c r="AM56" s="140"/>
      <c r="AN56" s="140"/>
      <c r="AO56" s="140"/>
      <c r="AP56" s="140"/>
      <c r="AQ56" s="140"/>
      <c r="AR56" s="140"/>
      <c r="AS56" s="140"/>
      <c r="AT56" s="140"/>
      <c r="AU56" s="140"/>
      <c r="AV56" s="140"/>
      <c r="AW56" s="140"/>
      <c r="AX56" s="140"/>
      <c r="AY56" s="140"/>
      <c r="AZ56" s="140"/>
      <c r="BA56" s="140"/>
      <c r="BB56" s="140"/>
      <c r="BC56" s="140"/>
      <c r="BD56" s="140"/>
      <c r="BE56" s="140"/>
      <c r="BF56" s="140"/>
      <c r="BG56" s="140"/>
      <c r="BH56" s="140"/>
      <c r="BI56" s="140"/>
    </row>
    <row r="57" spans="1:61" x14ac:dyDescent="0.3">
      <c r="A57" s="193" t="s">
        <v>318</v>
      </c>
      <c r="B57" s="194">
        <v>1</v>
      </c>
      <c r="C57" s="194">
        <v>1</v>
      </c>
      <c r="D57" s="194">
        <v>5</v>
      </c>
      <c r="E57" s="194">
        <v>0.94399999999999995</v>
      </c>
      <c r="F57" s="194">
        <v>1</v>
      </c>
      <c r="G57" s="194">
        <v>7</v>
      </c>
      <c r="H57" s="194">
        <v>0.94399999999999995</v>
      </c>
      <c r="I57" s="194">
        <v>0.83299999999999996</v>
      </c>
      <c r="J57" s="194">
        <v>6</v>
      </c>
      <c r="K57" s="194">
        <v>0.92300000000000004</v>
      </c>
      <c r="L57" s="194">
        <v>1</v>
      </c>
      <c r="M57" s="194">
        <v>5</v>
      </c>
      <c r="N57" s="194">
        <v>1</v>
      </c>
      <c r="O57" s="194">
        <v>1</v>
      </c>
      <c r="P57" s="194">
        <v>2</v>
      </c>
      <c r="Q57" s="194">
        <v>0.96199999999999997</v>
      </c>
      <c r="R57" s="194">
        <v>1</v>
      </c>
      <c r="S57" s="194">
        <v>16</v>
      </c>
      <c r="T57" s="194">
        <v>0.94399999999999995</v>
      </c>
      <c r="U57" s="194">
        <v>0.875</v>
      </c>
      <c r="V57" s="194">
        <v>8</v>
      </c>
      <c r="W57" s="194">
        <v>0.88900000000000001</v>
      </c>
      <c r="X57" s="194">
        <v>0.91700000000000004</v>
      </c>
      <c r="Y57" s="194">
        <v>12</v>
      </c>
      <c r="Z57" s="194">
        <v>0.8</v>
      </c>
      <c r="AA57" s="194">
        <v>0.85699999999999998</v>
      </c>
      <c r="AB57" s="194">
        <v>7</v>
      </c>
      <c r="AC57" s="194">
        <v>0.78800000000000003</v>
      </c>
      <c r="AD57" s="194">
        <v>0.63600000000000001</v>
      </c>
      <c r="AE57" s="194">
        <v>11</v>
      </c>
      <c r="AF57" s="194">
        <v>0.82899999999999996</v>
      </c>
      <c r="AG57" s="194">
        <v>0.86699999999999999</v>
      </c>
      <c r="AH57" s="194">
        <v>15</v>
      </c>
      <c r="AI57" s="194">
        <v>0.91700000000000004</v>
      </c>
      <c r="AJ57" s="194">
        <v>1</v>
      </c>
      <c r="AK57" s="194">
        <v>9</v>
      </c>
      <c r="AL57" s="140"/>
      <c r="AM57" s="140"/>
      <c r="AN57" s="140"/>
      <c r="AO57" s="140"/>
      <c r="AP57" s="140"/>
      <c r="AQ57" s="140"/>
      <c r="AR57" s="140"/>
      <c r="AS57" s="140"/>
      <c r="AT57" s="140"/>
      <c r="AU57" s="140"/>
      <c r="AV57" s="140"/>
      <c r="AW57" s="140"/>
      <c r="AX57" s="140"/>
      <c r="AY57" s="140"/>
      <c r="AZ57" s="140"/>
      <c r="BA57" s="140"/>
      <c r="BB57" s="140"/>
      <c r="BC57" s="140"/>
      <c r="BD57" s="140"/>
      <c r="BE57" s="140"/>
      <c r="BF57" s="140"/>
      <c r="BG57" s="140"/>
      <c r="BH57" s="140"/>
      <c r="BI57" s="140"/>
    </row>
    <row r="58" spans="1:61" x14ac:dyDescent="0.3">
      <c r="A58" s="193" t="s">
        <v>384</v>
      </c>
      <c r="B58" s="194">
        <v>0.746</v>
      </c>
      <c r="C58" s="194">
        <v>0.84</v>
      </c>
      <c r="D58" s="194">
        <v>25</v>
      </c>
      <c r="E58" s="194">
        <v>0.83</v>
      </c>
      <c r="F58" s="194">
        <v>0.67600000000000005</v>
      </c>
      <c r="G58" s="194">
        <v>34</v>
      </c>
      <c r="H58" s="194">
        <v>0.84699999999999998</v>
      </c>
      <c r="I58" s="194">
        <v>1</v>
      </c>
      <c r="J58" s="194">
        <v>29</v>
      </c>
      <c r="K58" s="194">
        <v>0.94399999999999995</v>
      </c>
      <c r="L58" s="194">
        <v>0.90900000000000003</v>
      </c>
      <c r="M58" s="194">
        <v>22</v>
      </c>
      <c r="N58" s="194">
        <v>0.88100000000000001</v>
      </c>
      <c r="O58" s="194">
        <v>0.90500000000000003</v>
      </c>
      <c r="P58" s="194">
        <v>21</v>
      </c>
      <c r="Q58" s="194">
        <v>0.84899999999999998</v>
      </c>
      <c r="R58" s="194">
        <v>0.83299999999999996</v>
      </c>
      <c r="S58" s="194">
        <v>24</v>
      </c>
      <c r="T58" s="194">
        <v>0.85699999999999998</v>
      </c>
      <c r="U58" s="194">
        <v>0.82099999999999995</v>
      </c>
      <c r="V58" s="194">
        <v>28</v>
      </c>
      <c r="W58" s="194">
        <v>0.83099999999999996</v>
      </c>
      <c r="X58" s="194">
        <v>0.92</v>
      </c>
      <c r="Y58" s="194">
        <v>25</v>
      </c>
      <c r="Z58" s="194">
        <v>0.88200000000000001</v>
      </c>
      <c r="AA58" s="194">
        <v>0.75</v>
      </c>
      <c r="AB58" s="194">
        <v>24</v>
      </c>
      <c r="AC58" s="194">
        <v>0.69799999999999995</v>
      </c>
      <c r="AD58" s="194">
        <v>0.96299999999999997</v>
      </c>
      <c r="AE58" s="194">
        <v>27</v>
      </c>
      <c r="AF58" s="194">
        <v>0.58799999999999997</v>
      </c>
      <c r="AG58" s="194">
        <v>0</v>
      </c>
      <c r="AH58" s="194">
        <v>12</v>
      </c>
      <c r="AI58" s="194">
        <v>0.16700000000000001</v>
      </c>
      <c r="AJ58" s="194">
        <v>0.33300000000000002</v>
      </c>
      <c r="AK58" s="194">
        <v>12</v>
      </c>
      <c r="AL58" s="140"/>
      <c r="AM58" s="140"/>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row>
    <row r="59" spans="1:61" x14ac:dyDescent="0.3">
      <c r="A59" s="193" t="s">
        <v>464</v>
      </c>
      <c r="B59" s="194">
        <v>0.625</v>
      </c>
      <c r="C59" s="194">
        <v>0</v>
      </c>
      <c r="D59" s="194">
        <v>3</v>
      </c>
      <c r="E59" s="194">
        <v>0.64300000000000002</v>
      </c>
      <c r="F59" s="194">
        <v>0.76900000000000002</v>
      </c>
      <c r="G59" s="194">
        <v>13</v>
      </c>
      <c r="H59" s="194">
        <v>0.61499999999999999</v>
      </c>
      <c r="I59" s="194">
        <v>0.66700000000000004</v>
      </c>
      <c r="J59" s="194">
        <v>12</v>
      </c>
      <c r="K59" s="194">
        <v>0.59499999999999997</v>
      </c>
      <c r="L59" s="194">
        <v>0.42899999999999999</v>
      </c>
      <c r="M59" s="194">
        <v>14</v>
      </c>
      <c r="N59" s="194">
        <v>0.57099999999999995</v>
      </c>
      <c r="O59" s="194">
        <v>0.72699999999999998</v>
      </c>
      <c r="P59" s="194">
        <v>11</v>
      </c>
      <c r="Q59" s="194">
        <v>0.61299999999999999</v>
      </c>
      <c r="R59" s="194">
        <v>0.6</v>
      </c>
      <c r="S59" s="194">
        <v>10</v>
      </c>
      <c r="T59" s="194">
        <v>0.5</v>
      </c>
      <c r="U59" s="194">
        <v>0.5</v>
      </c>
      <c r="V59" s="194">
        <v>10</v>
      </c>
      <c r="W59" s="194">
        <v>0.58099999999999996</v>
      </c>
      <c r="X59" s="194">
        <v>0.33300000000000002</v>
      </c>
      <c r="Y59" s="194">
        <v>6</v>
      </c>
      <c r="Z59" s="194">
        <v>0.65400000000000003</v>
      </c>
      <c r="AA59" s="194">
        <v>0.73299999999999998</v>
      </c>
      <c r="AB59" s="194">
        <v>15</v>
      </c>
      <c r="AC59" s="194">
        <v>0.67900000000000005</v>
      </c>
      <c r="AD59" s="194">
        <v>0.8</v>
      </c>
      <c r="AE59" s="194">
        <v>5</v>
      </c>
      <c r="AF59" s="194">
        <v>0.65</v>
      </c>
      <c r="AG59" s="194">
        <v>0.5</v>
      </c>
      <c r="AH59" s="194">
        <v>8</v>
      </c>
      <c r="AI59" s="194">
        <v>0.6</v>
      </c>
      <c r="AJ59" s="194">
        <v>0.71399999999999997</v>
      </c>
      <c r="AK59" s="194">
        <v>7</v>
      </c>
      <c r="AL59" s="140"/>
      <c r="AM59" s="140"/>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row>
    <row r="60" spans="1:61" x14ac:dyDescent="0.3">
      <c r="A60" s="193" t="s">
        <v>439</v>
      </c>
      <c r="B60" s="194">
        <v>0.78</v>
      </c>
      <c r="C60" s="194">
        <v>0.80600000000000005</v>
      </c>
      <c r="D60" s="194">
        <v>36</v>
      </c>
      <c r="E60" s="194">
        <v>0.81599999999999995</v>
      </c>
      <c r="F60" s="194">
        <v>0.73899999999999999</v>
      </c>
      <c r="G60" s="194">
        <v>23</v>
      </c>
      <c r="H60" s="194">
        <v>0.82199999999999995</v>
      </c>
      <c r="I60" s="194">
        <v>0.89300000000000002</v>
      </c>
      <c r="J60" s="194">
        <v>28</v>
      </c>
      <c r="K60" s="194">
        <v>0.84699999999999998</v>
      </c>
      <c r="L60" s="194">
        <v>0.81799999999999995</v>
      </c>
      <c r="M60" s="194">
        <v>22</v>
      </c>
      <c r="N60" s="194">
        <v>0.84599999999999997</v>
      </c>
      <c r="O60" s="194">
        <v>0.81799999999999995</v>
      </c>
      <c r="P60" s="194">
        <v>22</v>
      </c>
      <c r="Q60" s="194">
        <v>0.88400000000000001</v>
      </c>
      <c r="R60" s="194">
        <v>0.88200000000000001</v>
      </c>
      <c r="S60" s="194">
        <v>34</v>
      </c>
      <c r="T60" s="194">
        <v>0.88200000000000001</v>
      </c>
      <c r="U60" s="194">
        <v>0.92300000000000004</v>
      </c>
      <c r="V60" s="194">
        <v>39</v>
      </c>
      <c r="W60" s="194">
        <v>0.85199999999999998</v>
      </c>
      <c r="X60" s="194">
        <v>0.82799999999999996</v>
      </c>
      <c r="Y60" s="194">
        <v>29</v>
      </c>
      <c r="Z60" s="194">
        <v>0.73599999999999999</v>
      </c>
      <c r="AA60" s="194">
        <v>0.75</v>
      </c>
      <c r="AB60" s="194">
        <v>20</v>
      </c>
      <c r="AC60" s="194">
        <v>0.59499999999999997</v>
      </c>
      <c r="AD60" s="194">
        <v>0.60899999999999999</v>
      </c>
      <c r="AE60" s="194">
        <v>23</v>
      </c>
      <c r="AF60" s="194">
        <v>0.58799999999999997</v>
      </c>
      <c r="AG60" s="194">
        <v>0.48399999999999999</v>
      </c>
      <c r="AH60" s="194">
        <v>31</v>
      </c>
      <c r="AI60" s="194">
        <v>0.58099999999999996</v>
      </c>
      <c r="AJ60" s="194">
        <v>0.67700000000000005</v>
      </c>
      <c r="AK60" s="194">
        <v>31</v>
      </c>
      <c r="AL60" s="140"/>
      <c r="AM60" s="140"/>
      <c r="AN60" s="140"/>
      <c r="AO60" s="140"/>
      <c r="AP60" s="140"/>
      <c r="AQ60" s="140"/>
      <c r="AR60" s="140"/>
      <c r="AS60" s="140"/>
      <c r="AT60" s="140"/>
      <c r="AU60" s="140"/>
      <c r="AV60" s="140"/>
      <c r="AW60" s="140"/>
      <c r="AX60" s="140"/>
      <c r="AY60" s="140"/>
      <c r="AZ60" s="140"/>
      <c r="BA60" s="140"/>
      <c r="BB60" s="140"/>
      <c r="BC60" s="140"/>
      <c r="BD60" s="140"/>
      <c r="BE60" s="140"/>
      <c r="BF60" s="140"/>
      <c r="BG60" s="140"/>
      <c r="BH60" s="140"/>
      <c r="BI60" s="140"/>
    </row>
    <row r="61" spans="1:61" x14ac:dyDescent="0.3">
      <c r="A61" s="193" t="s">
        <v>522</v>
      </c>
      <c r="B61" s="194">
        <v>0.76200000000000001</v>
      </c>
      <c r="C61" s="194">
        <v>0.66700000000000004</v>
      </c>
      <c r="D61" s="194">
        <v>9</v>
      </c>
      <c r="E61" s="194">
        <v>0.66700000000000004</v>
      </c>
      <c r="F61" s="194">
        <v>0.83299999999999996</v>
      </c>
      <c r="G61" s="194">
        <v>12</v>
      </c>
      <c r="H61" s="194">
        <v>0.74399999999999999</v>
      </c>
      <c r="I61" s="194">
        <v>0.53300000000000003</v>
      </c>
      <c r="J61" s="194">
        <v>15</v>
      </c>
      <c r="K61" s="194">
        <v>0.69599999999999995</v>
      </c>
      <c r="L61" s="194">
        <v>0.875</v>
      </c>
      <c r="M61" s="194">
        <v>16</v>
      </c>
      <c r="N61" s="194">
        <v>0.73799999999999999</v>
      </c>
      <c r="O61" s="194">
        <v>0.66700000000000004</v>
      </c>
      <c r="P61" s="194">
        <v>15</v>
      </c>
      <c r="Q61" s="194">
        <v>0.69799999999999995</v>
      </c>
      <c r="R61" s="194">
        <v>0.63600000000000001</v>
      </c>
      <c r="S61" s="194">
        <v>11</v>
      </c>
      <c r="T61" s="194">
        <v>0.72299999999999998</v>
      </c>
      <c r="U61" s="194">
        <v>0.76500000000000001</v>
      </c>
      <c r="V61" s="194">
        <v>17</v>
      </c>
      <c r="W61" s="194">
        <v>0.66</v>
      </c>
      <c r="X61" s="194">
        <v>0.73699999999999999</v>
      </c>
      <c r="Y61" s="194">
        <v>19</v>
      </c>
      <c r="Z61" s="194">
        <v>0.5</v>
      </c>
      <c r="AA61" s="194">
        <v>0.36399999999999999</v>
      </c>
      <c r="AB61" s="194">
        <v>11</v>
      </c>
      <c r="AC61" s="194">
        <v>0.34599999999999997</v>
      </c>
      <c r="AD61" s="194">
        <v>0.36399999999999999</v>
      </c>
      <c r="AE61" s="194">
        <v>22</v>
      </c>
      <c r="AF61" s="194">
        <v>0.36799999999999999</v>
      </c>
      <c r="AG61" s="194">
        <v>0.316</v>
      </c>
      <c r="AH61" s="194">
        <v>19</v>
      </c>
      <c r="AI61" s="194">
        <v>0.371</v>
      </c>
      <c r="AJ61" s="194">
        <v>0.438</v>
      </c>
      <c r="AK61" s="194">
        <v>16</v>
      </c>
      <c r="AL61" s="140"/>
      <c r="AM61" s="140"/>
      <c r="AN61" s="140"/>
      <c r="AO61" s="140"/>
      <c r="AP61" s="140"/>
      <c r="AQ61" s="140"/>
      <c r="AR61" s="140"/>
      <c r="AS61" s="140"/>
      <c r="AT61" s="140"/>
      <c r="AU61" s="140"/>
      <c r="AV61" s="140"/>
      <c r="AW61" s="140"/>
      <c r="AX61" s="140"/>
      <c r="AY61" s="140"/>
      <c r="AZ61" s="140"/>
      <c r="BA61" s="140"/>
      <c r="BB61" s="140"/>
      <c r="BC61" s="140"/>
      <c r="BD61" s="140"/>
      <c r="BE61" s="140"/>
      <c r="BF61" s="140"/>
      <c r="BG61" s="140"/>
      <c r="BH61" s="140"/>
      <c r="BI61" s="140"/>
    </row>
    <row r="62" spans="1:61" x14ac:dyDescent="0.3">
      <c r="A62" s="193" t="s">
        <v>508</v>
      </c>
      <c r="B62" s="194">
        <v>1</v>
      </c>
      <c r="C62" s="194">
        <v>1</v>
      </c>
      <c r="D62" s="194">
        <v>3</v>
      </c>
      <c r="E62" s="194">
        <v>1</v>
      </c>
      <c r="F62" s="194">
        <v>1</v>
      </c>
      <c r="G62" s="194">
        <v>2</v>
      </c>
      <c r="H62" s="194">
        <v>1</v>
      </c>
      <c r="I62" s="194">
        <v>1</v>
      </c>
      <c r="J62" s="194">
        <v>3</v>
      </c>
      <c r="K62" s="194">
        <v>0.875</v>
      </c>
      <c r="L62" s="194">
        <v>1</v>
      </c>
      <c r="M62" s="194">
        <v>1</v>
      </c>
      <c r="N62" s="194">
        <v>0.66700000000000004</v>
      </c>
      <c r="O62" s="194">
        <v>0.75</v>
      </c>
      <c r="P62" s="194">
        <v>4</v>
      </c>
      <c r="Q62" s="194">
        <v>0.66700000000000004</v>
      </c>
      <c r="R62" s="194">
        <v>0</v>
      </c>
      <c r="S62" s="194">
        <v>1</v>
      </c>
      <c r="T62" s="194">
        <v>0.5</v>
      </c>
      <c r="U62" s="194">
        <v>1</v>
      </c>
      <c r="V62" s="194">
        <v>1</v>
      </c>
      <c r="W62" s="194">
        <v>1</v>
      </c>
      <c r="X62" s="194"/>
      <c r="Y62" s="194"/>
      <c r="Z62" s="194">
        <v>0.5</v>
      </c>
      <c r="AA62" s="194">
        <v>1</v>
      </c>
      <c r="AB62" s="194">
        <v>1</v>
      </c>
      <c r="AC62" s="194">
        <v>0.66700000000000004</v>
      </c>
      <c r="AD62" s="194">
        <v>0</v>
      </c>
      <c r="AE62" s="194">
        <v>1</v>
      </c>
      <c r="AF62" s="194">
        <v>0.7</v>
      </c>
      <c r="AG62" s="194">
        <v>0.75</v>
      </c>
      <c r="AH62" s="194">
        <v>4</v>
      </c>
      <c r="AI62" s="194">
        <v>0.77800000000000002</v>
      </c>
      <c r="AJ62" s="194">
        <v>0.8</v>
      </c>
      <c r="AK62" s="194">
        <v>5</v>
      </c>
      <c r="AL62" s="140"/>
      <c r="AM62" s="140"/>
      <c r="AN62" s="140"/>
      <c r="AO62" s="140"/>
      <c r="AP62" s="140"/>
      <c r="AQ62" s="140"/>
      <c r="AR62" s="140"/>
      <c r="AS62" s="140"/>
      <c r="AT62" s="140"/>
      <c r="AU62" s="140"/>
      <c r="AV62" s="140"/>
      <c r="AW62" s="140"/>
      <c r="AX62" s="140"/>
      <c r="AY62" s="140"/>
      <c r="AZ62" s="140"/>
      <c r="BA62" s="140"/>
      <c r="BB62" s="140"/>
      <c r="BC62" s="140"/>
      <c r="BD62" s="140"/>
      <c r="BE62" s="140"/>
      <c r="BF62" s="140"/>
      <c r="BG62" s="140"/>
      <c r="BH62" s="140"/>
      <c r="BI62" s="140"/>
    </row>
    <row r="63" spans="1:61" x14ac:dyDescent="0.3">
      <c r="A63" s="193" t="s">
        <v>506</v>
      </c>
      <c r="B63" s="194">
        <v>0.81599999999999995</v>
      </c>
      <c r="C63" s="194">
        <v>0.8</v>
      </c>
      <c r="D63" s="194">
        <v>25</v>
      </c>
      <c r="E63" s="194">
        <v>0.82599999999999996</v>
      </c>
      <c r="F63" s="194">
        <v>0.83299999999999996</v>
      </c>
      <c r="G63" s="194">
        <v>24</v>
      </c>
      <c r="H63" s="194">
        <v>0.82399999999999995</v>
      </c>
      <c r="I63" s="194">
        <v>0.85</v>
      </c>
      <c r="J63" s="194">
        <v>20</v>
      </c>
      <c r="K63" s="194">
        <v>0.83099999999999996</v>
      </c>
      <c r="L63" s="194">
        <v>0.8</v>
      </c>
      <c r="M63" s="194">
        <v>30</v>
      </c>
      <c r="N63" s="194">
        <v>0.81</v>
      </c>
      <c r="O63" s="194">
        <v>0.86699999999999999</v>
      </c>
      <c r="P63" s="194">
        <v>15</v>
      </c>
      <c r="Q63" s="194">
        <v>0.80700000000000005</v>
      </c>
      <c r="R63" s="194">
        <v>0.77800000000000002</v>
      </c>
      <c r="S63" s="194">
        <v>18</v>
      </c>
      <c r="T63" s="194">
        <v>0.83599999999999997</v>
      </c>
      <c r="U63" s="194">
        <v>0.79200000000000004</v>
      </c>
      <c r="V63" s="194">
        <v>24</v>
      </c>
      <c r="W63" s="194">
        <v>0.85699999999999998</v>
      </c>
      <c r="X63" s="194">
        <v>0.92</v>
      </c>
      <c r="Y63" s="194">
        <v>25</v>
      </c>
      <c r="Z63" s="194">
        <v>0.82899999999999996</v>
      </c>
      <c r="AA63" s="194">
        <v>0.85699999999999998</v>
      </c>
      <c r="AB63" s="194">
        <v>28</v>
      </c>
      <c r="AC63" s="194">
        <v>0.81499999999999995</v>
      </c>
      <c r="AD63" s="194">
        <v>0.69599999999999995</v>
      </c>
      <c r="AE63" s="194">
        <v>23</v>
      </c>
      <c r="AF63" s="194">
        <v>0.81</v>
      </c>
      <c r="AG63" s="194">
        <v>0.92900000000000005</v>
      </c>
      <c r="AH63" s="194">
        <v>14</v>
      </c>
      <c r="AI63" s="194">
        <v>0.88600000000000001</v>
      </c>
      <c r="AJ63" s="194">
        <v>0.85699999999999998</v>
      </c>
      <c r="AK63" s="194">
        <v>21</v>
      </c>
      <c r="AL63" s="140"/>
      <c r="AM63" s="140"/>
      <c r="AN63" s="140"/>
      <c r="AO63" s="140"/>
      <c r="AP63" s="140"/>
      <c r="AQ63" s="140"/>
      <c r="AR63" s="140"/>
      <c r="AS63" s="140"/>
      <c r="AT63" s="140"/>
      <c r="AU63" s="140"/>
      <c r="AV63" s="140"/>
      <c r="AW63" s="140"/>
      <c r="AX63" s="140"/>
      <c r="AY63" s="140"/>
      <c r="AZ63" s="140"/>
      <c r="BA63" s="140"/>
      <c r="BB63" s="140"/>
      <c r="BC63" s="140"/>
      <c r="BD63" s="140"/>
      <c r="BE63" s="140"/>
      <c r="BF63" s="140"/>
      <c r="BG63" s="140"/>
      <c r="BH63" s="140"/>
      <c r="BI63" s="140"/>
    </row>
    <row r="64" spans="1:61" x14ac:dyDescent="0.3">
      <c r="A64" s="193" t="s">
        <v>550</v>
      </c>
      <c r="B64" s="194">
        <v>0.85699999999999998</v>
      </c>
      <c r="C64" s="194">
        <v>0.8</v>
      </c>
      <c r="D64" s="194">
        <v>5</v>
      </c>
      <c r="E64" s="194">
        <v>0.73299999999999998</v>
      </c>
      <c r="F64" s="194">
        <v>1</v>
      </c>
      <c r="G64" s="194">
        <v>2</v>
      </c>
      <c r="H64" s="194">
        <v>0.52600000000000002</v>
      </c>
      <c r="I64" s="194">
        <v>0.625</v>
      </c>
      <c r="J64" s="194">
        <v>8</v>
      </c>
      <c r="K64" s="194">
        <v>0.5</v>
      </c>
      <c r="L64" s="194">
        <v>0.33300000000000002</v>
      </c>
      <c r="M64" s="194">
        <v>9</v>
      </c>
      <c r="N64" s="194">
        <v>0.41199999999999998</v>
      </c>
      <c r="O64" s="194">
        <v>0.57099999999999995</v>
      </c>
      <c r="P64" s="194">
        <v>7</v>
      </c>
      <c r="Q64" s="194">
        <v>0.38500000000000001</v>
      </c>
      <c r="R64" s="194">
        <v>0</v>
      </c>
      <c r="S64" s="194">
        <v>1</v>
      </c>
      <c r="T64" s="194">
        <v>0.5</v>
      </c>
      <c r="U64" s="194">
        <v>0.2</v>
      </c>
      <c r="V64" s="194">
        <v>5</v>
      </c>
      <c r="W64" s="194">
        <v>0.5</v>
      </c>
      <c r="X64" s="194">
        <v>0.83299999999999996</v>
      </c>
      <c r="Y64" s="194">
        <v>6</v>
      </c>
      <c r="Z64" s="194">
        <v>0.72199999999999998</v>
      </c>
      <c r="AA64" s="194">
        <v>0.4</v>
      </c>
      <c r="AB64" s="194">
        <v>5</v>
      </c>
      <c r="AC64" s="194">
        <v>0.66700000000000004</v>
      </c>
      <c r="AD64" s="194">
        <v>0.85699999999999998</v>
      </c>
      <c r="AE64" s="194">
        <v>7</v>
      </c>
      <c r="AF64" s="194">
        <v>0.69199999999999995</v>
      </c>
      <c r="AG64" s="194">
        <v>0.66700000000000004</v>
      </c>
      <c r="AH64" s="194">
        <v>9</v>
      </c>
      <c r="AI64" s="194">
        <v>0.63200000000000001</v>
      </c>
      <c r="AJ64" s="194">
        <v>0.6</v>
      </c>
      <c r="AK64" s="194">
        <v>10</v>
      </c>
      <c r="AL64" s="140"/>
      <c r="AM64" s="140"/>
      <c r="AN64" s="140"/>
      <c r="AO64" s="140"/>
      <c r="AP64" s="140"/>
      <c r="AQ64" s="140"/>
      <c r="AR64" s="140"/>
      <c r="AS64" s="140"/>
      <c r="AT64" s="140"/>
      <c r="AU64" s="140"/>
      <c r="AV64" s="140"/>
      <c r="AW64" s="140"/>
      <c r="AX64" s="140"/>
      <c r="AY64" s="140"/>
      <c r="AZ64" s="140"/>
      <c r="BA64" s="140"/>
      <c r="BB64" s="140"/>
      <c r="BC64" s="140"/>
      <c r="BD64" s="140"/>
      <c r="BE64" s="140"/>
      <c r="BF64" s="140"/>
      <c r="BG64" s="140"/>
      <c r="BH64" s="140"/>
      <c r="BI64" s="140"/>
    </row>
    <row r="65" spans="1:61" x14ac:dyDescent="0.3">
      <c r="A65" s="193" t="s">
        <v>356</v>
      </c>
      <c r="B65" s="194">
        <v>0.72199999999999998</v>
      </c>
      <c r="C65" s="194">
        <v>0.5</v>
      </c>
      <c r="D65" s="194">
        <v>8</v>
      </c>
      <c r="E65" s="194">
        <v>0.70799999999999996</v>
      </c>
      <c r="F65" s="194">
        <v>0.9</v>
      </c>
      <c r="G65" s="194">
        <v>10</v>
      </c>
      <c r="H65" s="194">
        <v>0.87</v>
      </c>
      <c r="I65" s="194">
        <v>0.66700000000000004</v>
      </c>
      <c r="J65" s="194">
        <v>6</v>
      </c>
      <c r="K65" s="194">
        <v>0.8</v>
      </c>
      <c r="L65" s="194">
        <v>1</v>
      </c>
      <c r="M65" s="194">
        <v>7</v>
      </c>
      <c r="N65" s="194">
        <v>0.875</v>
      </c>
      <c r="O65" s="194">
        <v>0.71399999999999997</v>
      </c>
      <c r="P65" s="194">
        <v>7</v>
      </c>
      <c r="Q65" s="194">
        <v>0.81799999999999995</v>
      </c>
      <c r="R65" s="194">
        <v>1</v>
      </c>
      <c r="S65" s="194">
        <v>2</v>
      </c>
      <c r="T65" s="194">
        <v>1</v>
      </c>
      <c r="U65" s="194">
        <v>1</v>
      </c>
      <c r="V65" s="194">
        <v>2</v>
      </c>
      <c r="W65" s="194">
        <v>0.76900000000000002</v>
      </c>
      <c r="X65" s="194">
        <v>1</v>
      </c>
      <c r="Y65" s="194">
        <v>8</v>
      </c>
      <c r="Z65" s="194">
        <v>0.68799999999999994</v>
      </c>
      <c r="AA65" s="194">
        <v>0</v>
      </c>
      <c r="AB65" s="194">
        <v>3</v>
      </c>
      <c r="AC65" s="194">
        <v>0.56299999999999994</v>
      </c>
      <c r="AD65" s="194">
        <v>0.6</v>
      </c>
      <c r="AE65" s="194">
        <v>5</v>
      </c>
      <c r="AF65" s="194">
        <v>0.625</v>
      </c>
      <c r="AG65" s="194">
        <v>0.75</v>
      </c>
      <c r="AH65" s="194">
        <v>8</v>
      </c>
      <c r="AI65" s="194">
        <v>0.63600000000000001</v>
      </c>
      <c r="AJ65" s="194">
        <v>0.33300000000000002</v>
      </c>
      <c r="AK65" s="194">
        <v>3</v>
      </c>
      <c r="AL65" s="140"/>
      <c r="AM65" s="140"/>
      <c r="AN65" s="140"/>
      <c r="AO65" s="140"/>
      <c r="AP65" s="140"/>
      <c r="AQ65" s="140"/>
      <c r="AR65" s="140"/>
      <c r="AS65" s="140"/>
      <c r="AT65" s="140"/>
      <c r="AU65" s="140"/>
      <c r="AV65" s="140"/>
      <c r="AW65" s="140"/>
      <c r="AX65" s="140"/>
      <c r="AY65" s="140"/>
      <c r="AZ65" s="140"/>
      <c r="BA65" s="140"/>
      <c r="BB65" s="140"/>
      <c r="BC65" s="140"/>
      <c r="BD65" s="140"/>
      <c r="BE65" s="140"/>
      <c r="BF65" s="140"/>
      <c r="BG65" s="140"/>
      <c r="BH65" s="140"/>
      <c r="BI65" s="140"/>
    </row>
    <row r="66" spans="1:61" x14ac:dyDescent="0.3">
      <c r="A66" s="193" t="s">
        <v>414</v>
      </c>
      <c r="B66" s="194">
        <v>0.50800000000000001</v>
      </c>
      <c r="C66" s="194">
        <v>0.5</v>
      </c>
      <c r="D66" s="194">
        <v>36</v>
      </c>
      <c r="E66" s="194">
        <v>0.64700000000000002</v>
      </c>
      <c r="F66" s="194">
        <v>0.52200000000000002</v>
      </c>
      <c r="G66" s="194">
        <v>23</v>
      </c>
      <c r="H66" s="194">
        <v>0.75700000000000001</v>
      </c>
      <c r="I66" s="194">
        <v>0.83699999999999997</v>
      </c>
      <c r="J66" s="194">
        <v>43</v>
      </c>
      <c r="K66" s="194">
        <v>0.84499999999999997</v>
      </c>
      <c r="L66" s="194">
        <v>0.81100000000000005</v>
      </c>
      <c r="M66" s="194">
        <v>37</v>
      </c>
      <c r="N66" s="194">
        <v>0.8</v>
      </c>
      <c r="O66" s="194">
        <v>0.91300000000000003</v>
      </c>
      <c r="P66" s="194">
        <v>23</v>
      </c>
      <c r="Q66" s="194">
        <v>0.79500000000000004</v>
      </c>
      <c r="R66" s="194">
        <v>0.7</v>
      </c>
      <c r="S66" s="194">
        <v>30</v>
      </c>
      <c r="T66" s="194">
        <v>0.65500000000000003</v>
      </c>
      <c r="U66" s="194">
        <v>0.8</v>
      </c>
      <c r="V66" s="194">
        <v>20</v>
      </c>
      <c r="W66" s="194">
        <v>0.61</v>
      </c>
      <c r="X66" s="194">
        <v>0.54100000000000004</v>
      </c>
      <c r="Y66" s="194">
        <v>37</v>
      </c>
      <c r="Z66" s="194">
        <v>0.55300000000000005</v>
      </c>
      <c r="AA66" s="194">
        <v>0.56000000000000005</v>
      </c>
      <c r="AB66" s="194">
        <v>25</v>
      </c>
      <c r="AC66" s="194">
        <v>0.495</v>
      </c>
      <c r="AD66" s="194">
        <v>0.55800000000000005</v>
      </c>
      <c r="AE66" s="194">
        <v>52</v>
      </c>
      <c r="AF66" s="194">
        <v>0.52500000000000002</v>
      </c>
      <c r="AG66" s="194">
        <v>0.34399999999999997</v>
      </c>
      <c r="AH66" s="194">
        <v>32</v>
      </c>
      <c r="AI66" s="194">
        <v>0.5</v>
      </c>
      <c r="AJ66" s="194">
        <v>0.63200000000000001</v>
      </c>
      <c r="AK66" s="194">
        <v>38</v>
      </c>
      <c r="AL66" s="140"/>
      <c r="AM66" s="140"/>
      <c r="AN66" s="140"/>
      <c r="AO66" s="140"/>
      <c r="AP66" s="140"/>
      <c r="AQ66" s="140"/>
      <c r="AR66" s="140"/>
      <c r="AS66" s="140"/>
      <c r="AT66" s="140"/>
      <c r="AU66" s="140"/>
      <c r="AV66" s="140"/>
      <c r="AW66" s="140"/>
      <c r="AX66" s="140"/>
      <c r="AY66" s="140"/>
      <c r="AZ66" s="140"/>
      <c r="BA66" s="140"/>
      <c r="BB66" s="140"/>
      <c r="BC66" s="140"/>
      <c r="BD66" s="140"/>
      <c r="BE66" s="140"/>
      <c r="BF66" s="140"/>
      <c r="BG66" s="140"/>
      <c r="BH66" s="140"/>
      <c r="BI66" s="140"/>
    </row>
    <row r="67" spans="1:61" x14ac:dyDescent="0.3">
      <c r="A67" s="193" t="s">
        <v>456</v>
      </c>
      <c r="B67" s="194">
        <v>0.85099999999999998</v>
      </c>
      <c r="C67" s="194">
        <v>0.83</v>
      </c>
      <c r="D67" s="194">
        <v>47</v>
      </c>
      <c r="E67" s="194">
        <v>0.83699999999999997</v>
      </c>
      <c r="F67" s="194">
        <v>0.875</v>
      </c>
      <c r="G67" s="194">
        <v>40</v>
      </c>
      <c r="H67" s="194">
        <v>0.86199999999999999</v>
      </c>
      <c r="I67" s="194">
        <v>0.81</v>
      </c>
      <c r="J67" s="194">
        <v>42</v>
      </c>
      <c r="K67" s="194">
        <v>0.86099999999999999</v>
      </c>
      <c r="L67" s="194">
        <v>0.92600000000000005</v>
      </c>
      <c r="M67" s="194">
        <v>27</v>
      </c>
      <c r="N67" s="194">
        <v>0.88300000000000001</v>
      </c>
      <c r="O67" s="194">
        <v>0.872</v>
      </c>
      <c r="P67" s="194">
        <v>39</v>
      </c>
      <c r="Q67" s="194">
        <v>0.86799999999999999</v>
      </c>
      <c r="R67" s="194">
        <v>0.86499999999999999</v>
      </c>
      <c r="S67" s="194">
        <v>37</v>
      </c>
      <c r="T67" s="194">
        <v>0.84099999999999997</v>
      </c>
      <c r="U67" s="194">
        <v>0.86699999999999999</v>
      </c>
      <c r="V67" s="194">
        <v>45</v>
      </c>
      <c r="W67" s="194">
        <v>0.81599999999999995</v>
      </c>
      <c r="X67" s="194">
        <v>0.81</v>
      </c>
      <c r="Y67" s="194">
        <v>63</v>
      </c>
      <c r="Z67" s="194">
        <v>0.78500000000000003</v>
      </c>
      <c r="AA67" s="194">
        <v>0.76900000000000002</v>
      </c>
      <c r="AB67" s="194">
        <v>39</v>
      </c>
      <c r="AC67" s="194">
        <v>0.71899999999999997</v>
      </c>
      <c r="AD67" s="194">
        <v>0.76200000000000001</v>
      </c>
      <c r="AE67" s="194">
        <v>42</v>
      </c>
      <c r="AF67" s="194">
        <v>0.74299999999999999</v>
      </c>
      <c r="AG67" s="194">
        <v>0.64800000000000002</v>
      </c>
      <c r="AH67" s="194">
        <v>54</v>
      </c>
      <c r="AI67" s="194">
        <v>0.73399999999999999</v>
      </c>
      <c r="AJ67" s="194">
        <v>0.85</v>
      </c>
      <c r="AK67" s="194">
        <v>40</v>
      </c>
      <c r="AL67" s="140"/>
      <c r="AM67" s="140"/>
      <c r="AN67" s="140"/>
      <c r="AO67" s="140"/>
      <c r="AP67" s="140"/>
      <c r="AQ67" s="140"/>
      <c r="AR67" s="140"/>
      <c r="AS67" s="140"/>
      <c r="AT67" s="140"/>
      <c r="AU67" s="140"/>
      <c r="AV67" s="140"/>
      <c r="AW67" s="140"/>
      <c r="AX67" s="140"/>
      <c r="AY67" s="140"/>
      <c r="AZ67" s="140"/>
      <c r="BA67" s="140"/>
      <c r="BB67" s="140"/>
      <c r="BC67" s="140"/>
      <c r="BD67" s="140"/>
      <c r="BE67" s="140"/>
      <c r="BF67" s="140"/>
      <c r="BG67" s="140"/>
      <c r="BH67" s="140"/>
      <c r="BI67" s="140"/>
    </row>
    <row r="68" spans="1:61" x14ac:dyDescent="0.3">
      <c r="A68" s="193" t="s">
        <v>293</v>
      </c>
      <c r="B68" s="194">
        <v>0.82399999999999995</v>
      </c>
      <c r="C68" s="194">
        <v>1</v>
      </c>
      <c r="D68" s="194">
        <v>6</v>
      </c>
      <c r="E68" s="194">
        <v>0.85699999999999998</v>
      </c>
      <c r="F68" s="194">
        <v>0.72699999999999998</v>
      </c>
      <c r="G68" s="194">
        <v>11</v>
      </c>
      <c r="H68" s="194">
        <v>0.77800000000000002</v>
      </c>
      <c r="I68" s="194">
        <v>1</v>
      </c>
      <c r="J68" s="194">
        <v>4</v>
      </c>
      <c r="K68" s="194">
        <v>0.93300000000000005</v>
      </c>
      <c r="L68" s="194">
        <v>0.66700000000000004</v>
      </c>
      <c r="M68" s="194">
        <v>3</v>
      </c>
      <c r="N68" s="194">
        <v>0.86699999999999999</v>
      </c>
      <c r="O68" s="194">
        <v>1</v>
      </c>
      <c r="P68" s="194">
        <v>8</v>
      </c>
      <c r="Q68" s="194">
        <v>0.90200000000000002</v>
      </c>
      <c r="R68" s="194">
        <v>0.84199999999999997</v>
      </c>
      <c r="S68" s="194">
        <v>19</v>
      </c>
      <c r="T68" s="194">
        <v>0.89500000000000002</v>
      </c>
      <c r="U68" s="194">
        <v>0.92900000000000005</v>
      </c>
      <c r="V68" s="194">
        <v>14</v>
      </c>
      <c r="W68" s="194">
        <v>0.83299999999999996</v>
      </c>
      <c r="X68" s="194">
        <v>1</v>
      </c>
      <c r="Y68" s="194">
        <v>5</v>
      </c>
      <c r="Z68" s="194">
        <v>0.71399999999999997</v>
      </c>
      <c r="AA68" s="194">
        <v>0.63600000000000001</v>
      </c>
      <c r="AB68" s="194">
        <v>11</v>
      </c>
      <c r="AC68" s="194">
        <v>0.68400000000000005</v>
      </c>
      <c r="AD68" s="194">
        <v>0.6</v>
      </c>
      <c r="AE68" s="194">
        <v>5</v>
      </c>
      <c r="AF68" s="194">
        <v>0.72699999999999998</v>
      </c>
      <c r="AG68" s="194">
        <v>1</v>
      </c>
      <c r="AH68" s="194">
        <v>3</v>
      </c>
      <c r="AI68" s="194">
        <v>0.83299999999999996</v>
      </c>
      <c r="AJ68" s="194">
        <v>0.66700000000000004</v>
      </c>
      <c r="AK68" s="194">
        <v>3</v>
      </c>
      <c r="AL68" s="140"/>
      <c r="AM68" s="140"/>
      <c r="AN68" s="140"/>
      <c r="AO68" s="140"/>
      <c r="AP68" s="140"/>
      <c r="AQ68" s="140"/>
      <c r="AR68" s="140"/>
      <c r="AS68" s="140"/>
      <c r="AT68" s="140"/>
      <c r="AU68" s="140"/>
      <c r="AV68" s="140"/>
      <c r="AW68" s="140"/>
      <c r="AX68" s="140"/>
      <c r="AY68" s="140"/>
      <c r="AZ68" s="140"/>
      <c r="BA68" s="140"/>
      <c r="BB68" s="140"/>
      <c r="BC68" s="140"/>
      <c r="BD68" s="140"/>
      <c r="BE68" s="140"/>
      <c r="BF68" s="140"/>
      <c r="BG68" s="140"/>
      <c r="BH68" s="140"/>
      <c r="BI68" s="140"/>
    </row>
    <row r="69" spans="1:61" x14ac:dyDescent="0.3">
      <c r="A69" s="193" t="s">
        <v>486</v>
      </c>
      <c r="B69" s="194">
        <v>0.9</v>
      </c>
      <c r="C69" s="194">
        <v>1</v>
      </c>
      <c r="D69" s="194">
        <v>3</v>
      </c>
      <c r="E69" s="194">
        <v>0.93799999999999994</v>
      </c>
      <c r="F69" s="194">
        <v>0.85699999999999998</v>
      </c>
      <c r="G69" s="194">
        <v>7</v>
      </c>
      <c r="H69" s="194">
        <v>0.94699999999999995</v>
      </c>
      <c r="I69" s="194">
        <v>1</v>
      </c>
      <c r="J69" s="194">
        <v>6</v>
      </c>
      <c r="K69" s="194">
        <v>0.93799999999999994</v>
      </c>
      <c r="L69" s="194">
        <v>1</v>
      </c>
      <c r="M69" s="194">
        <v>6</v>
      </c>
      <c r="N69" s="194">
        <v>0.875</v>
      </c>
      <c r="O69" s="194">
        <v>0.75</v>
      </c>
      <c r="P69" s="194">
        <v>4</v>
      </c>
      <c r="Q69" s="194">
        <v>0.82399999999999995</v>
      </c>
      <c r="R69" s="194">
        <v>0.83299999999999996</v>
      </c>
      <c r="S69" s="194">
        <v>6</v>
      </c>
      <c r="T69" s="194">
        <v>0.8</v>
      </c>
      <c r="U69" s="194">
        <v>0.85699999999999998</v>
      </c>
      <c r="V69" s="194">
        <v>7</v>
      </c>
      <c r="W69" s="194">
        <v>0.78900000000000003</v>
      </c>
      <c r="X69" s="194">
        <v>0.71399999999999997</v>
      </c>
      <c r="Y69" s="194">
        <v>7</v>
      </c>
      <c r="Z69" s="194">
        <v>0.75</v>
      </c>
      <c r="AA69" s="194">
        <v>0.8</v>
      </c>
      <c r="AB69" s="194">
        <v>5</v>
      </c>
      <c r="AC69" s="194">
        <v>0.75</v>
      </c>
      <c r="AD69" s="194">
        <v>0.75</v>
      </c>
      <c r="AE69" s="194">
        <v>4</v>
      </c>
      <c r="AF69" s="194">
        <v>0.76900000000000002</v>
      </c>
      <c r="AG69" s="194">
        <v>0.71399999999999997</v>
      </c>
      <c r="AH69" s="194">
        <v>7</v>
      </c>
      <c r="AI69" s="194">
        <v>0.77800000000000002</v>
      </c>
      <c r="AJ69" s="194">
        <v>1</v>
      </c>
      <c r="AK69" s="194">
        <v>2</v>
      </c>
      <c r="AL69" s="140"/>
      <c r="AM69" s="140"/>
      <c r="AN69" s="140"/>
      <c r="AO69" s="140"/>
      <c r="AP69" s="140"/>
      <c r="AQ69" s="140"/>
      <c r="AR69" s="140"/>
      <c r="AS69" s="140"/>
      <c r="AT69" s="140"/>
      <c r="AU69" s="140"/>
      <c r="AV69" s="140"/>
      <c r="AW69" s="140"/>
      <c r="AX69" s="140"/>
      <c r="AY69" s="140"/>
      <c r="AZ69" s="140"/>
      <c r="BA69" s="140"/>
      <c r="BB69" s="140"/>
      <c r="BC69" s="140"/>
      <c r="BD69" s="140"/>
      <c r="BE69" s="140"/>
      <c r="BF69" s="140"/>
      <c r="BG69" s="140"/>
      <c r="BH69" s="140"/>
      <c r="BI69" s="140"/>
    </row>
    <row r="70" spans="1:61" x14ac:dyDescent="0.3">
      <c r="A70" s="193" t="s">
        <v>362</v>
      </c>
      <c r="B70" s="194">
        <v>0.71399999999999997</v>
      </c>
      <c r="C70" s="194">
        <v>0.66700000000000004</v>
      </c>
      <c r="D70" s="194">
        <v>15</v>
      </c>
      <c r="E70" s="194">
        <v>0.73099999999999998</v>
      </c>
      <c r="F70" s="194">
        <v>0.83299999999999996</v>
      </c>
      <c r="G70" s="194">
        <v>6</v>
      </c>
      <c r="H70" s="194">
        <v>0.77300000000000002</v>
      </c>
      <c r="I70" s="194">
        <v>0.8</v>
      </c>
      <c r="J70" s="194">
        <v>5</v>
      </c>
      <c r="K70" s="194">
        <v>0.63600000000000001</v>
      </c>
      <c r="L70" s="194">
        <v>0.72699999999999998</v>
      </c>
      <c r="M70" s="194">
        <v>11</v>
      </c>
      <c r="N70" s="194">
        <v>0.58099999999999996</v>
      </c>
      <c r="O70" s="194">
        <v>0.33300000000000002</v>
      </c>
      <c r="P70" s="194">
        <v>6</v>
      </c>
      <c r="Q70" s="194">
        <v>0.53600000000000003</v>
      </c>
      <c r="R70" s="194">
        <v>0.57099999999999995</v>
      </c>
      <c r="S70" s="194">
        <v>14</v>
      </c>
      <c r="T70" s="194">
        <v>0.621</v>
      </c>
      <c r="U70" s="194">
        <v>0.625</v>
      </c>
      <c r="V70" s="194">
        <v>8</v>
      </c>
      <c r="W70" s="194">
        <v>0.73699999999999999</v>
      </c>
      <c r="X70" s="194">
        <v>0.71399999999999997</v>
      </c>
      <c r="Y70" s="194">
        <v>7</v>
      </c>
      <c r="Z70" s="194">
        <v>0.76900000000000002</v>
      </c>
      <c r="AA70" s="194">
        <v>1</v>
      </c>
      <c r="AB70" s="194">
        <v>4</v>
      </c>
      <c r="AC70" s="194">
        <v>0.71399999999999997</v>
      </c>
      <c r="AD70" s="194">
        <v>0.73299999999999998</v>
      </c>
      <c r="AE70" s="194">
        <v>15</v>
      </c>
      <c r="AF70" s="194">
        <v>0.65600000000000003</v>
      </c>
      <c r="AG70" s="194">
        <v>0.55600000000000005</v>
      </c>
      <c r="AH70" s="194">
        <v>9</v>
      </c>
      <c r="AI70" s="194">
        <v>0.58799999999999997</v>
      </c>
      <c r="AJ70" s="194">
        <v>0.625</v>
      </c>
      <c r="AK70" s="194">
        <v>8</v>
      </c>
      <c r="AL70" s="140"/>
      <c r="AM70" s="140"/>
      <c r="AN70" s="140"/>
      <c r="AO70" s="140"/>
      <c r="AP70" s="140"/>
      <c r="AQ70" s="140"/>
      <c r="AR70" s="140"/>
      <c r="AS70" s="140"/>
      <c r="AT70" s="140"/>
      <c r="AU70" s="140"/>
      <c r="AV70" s="140"/>
      <c r="AW70" s="140"/>
      <c r="AX70" s="140"/>
      <c r="AY70" s="140"/>
      <c r="AZ70" s="140"/>
      <c r="BA70" s="140"/>
      <c r="BB70" s="140"/>
      <c r="BC70" s="140"/>
      <c r="BD70" s="140"/>
      <c r="BE70" s="140"/>
      <c r="BF70" s="140"/>
      <c r="BG70" s="140"/>
      <c r="BH70" s="140"/>
      <c r="BI70" s="140"/>
    </row>
    <row r="71" spans="1:61" x14ac:dyDescent="0.3">
      <c r="A71" s="193" t="s">
        <v>367</v>
      </c>
      <c r="B71" s="194">
        <v>0.85399999999999998</v>
      </c>
      <c r="C71" s="194">
        <v>0.9</v>
      </c>
      <c r="D71" s="194">
        <v>20</v>
      </c>
      <c r="E71" s="194">
        <v>0.81399999999999995</v>
      </c>
      <c r="F71" s="194">
        <v>0.82099999999999995</v>
      </c>
      <c r="G71" s="194">
        <v>28</v>
      </c>
      <c r="H71" s="194">
        <v>0.84</v>
      </c>
      <c r="I71" s="194">
        <v>0.72699999999999998</v>
      </c>
      <c r="J71" s="194">
        <v>22</v>
      </c>
      <c r="K71" s="194">
        <v>0.88100000000000001</v>
      </c>
      <c r="L71" s="194">
        <v>0.96</v>
      </c>
      <c r="M71" s="194">
        <v>25</v>
      </c>
      <c r="N71" s="194">
        <v>0.94799999999999995</v>
      </c>
      <c r="O71" s="194">
        <v>0.95</v>
      </c>
      <c r="P71" s="194">
        <v>20</v>
      </c>
      <c r="Q71" s="194">
        <v>0.90100000000000002</v>
      </c>
      <c r="R71" s="194">
        <v>0.93799999999999994</v>
      </c>
      <c r="S71" s="194">
        <v>32</v>
      </c>
      <c r="T71" s="194">
        <v>0.89</v>
      </c>
      <c r="U71" s="194">
        <v>0.84599999999999997</v>
      </c>
      <c r="V71" s="194">
        <v>39</v>
      </c>
      <c r="W71" s="194">
        <v>0.82899999999999996</v>
      </c>
      <c r="X71" s="194">
        <v>0.89700000000000002</v>
      </c>
      <c r="Y71" s="194">
        <v>29</v>
      </c>
      <c r="Z71" s="194">
        <v>0.76900000000000002</v>
      </c>
      <c r="AA71" s="194">
        <v>0.76700000000000002</v>
      </c>
      <c r="AB71" s="194">
        <v>43</v>
      </c>
      <c r="AC71" s="194">
        <v>0.73499999999999999</v>
      </c>
      <c r="AD71" s="194">
        <v>0.65600000000000003</v>
      </c>
      <c r="AE71" s="194">
        <v>32</v>
      </c>
      <c r="AF71" s="194">
        <v>0.72799999999999998</v>
      </c>
      <c r="AG71" s="194">
        <v>0.76200000000000001</v>
      </c>
      <c r="AH71" s="194">
        <v>42</v>
      </c>
      <c r="AI71" s="194">
        <v>0.75600000000000001</v>
      </c>
      <c r="AJ71" s="194">
        <v>0.75</v>
      </c>
      <c r="AK71" s="194">
        <v>40</v>
      </c>
      <c r="AL71" s="140"/>
      <c r="AM71" s="140"/>
      <c r="AN71" s="140"/>
      <c r="AO71" s="140"/>
      <c r="AP71" s="140"/>
      <c r="AQ71" s="140"/>
      <c r="AR71" s="140"/>
      <c r="AS71" s="140"/>
      <c r="AT71" s="140"/>
      <c r="AU71" s="140"/>
      <c r="AV71" s="140"/>
      <c r="AW71" s="140"/>
      <c r="AX71" s="140"/>
      <c r="AY71" s="140"/>
      <c r="AZ71" s="140"/>
      <c r="BA71" s="140"/>
      <c r="BB71" s="140"/>
      <c r="BC71" s="140"/>
      <c r="BD71" s="140"/>
      <c r="BE71" s="140"/>
      <c r="BF71" s="140"/>
      <c r="BG71" s="140"/>
      <c r="BH71" s="140"/>
      <c r="BI71" s="140"/>
    </row>
    <row r="72" spans="1:61" x14ac:dyDescent="0.3">
      <c r="A72" s="193" t="s">
        <v>327</v>
      </c>
      <c r="B72" s="194">
        <v>0.76200000000000001</v>
      </c>
      <c r="C72" s="194">
        <v>0.33300000000000002</v>
      </c>
      <c r="D72" s="194">
        <v>3</v>
      </c>
      <c r="E72" s="194">
        <v>0.83299999999999996</v>
      </c>
      <c r="F72" s="194">
        <v>0.83299999999999996</v>
      </c>
      <c r="G72" s="194">
        <v>18</v>
      </c>
      <c r="H72" s="194">
        <v>0.84099999999999997</v>
      </c>
      <c r="I72" s="194">
        <v>0.93300000000000005</v>
      </c>
      <c r="J72" s="194">
        <v>15</v>
      </c>
      <c r="K72" s="194">
        <v>0.81599999999999995</v>
      </c>
      <c r="L72" s="194">
        <v>0.72699999999999998</v>
      </c>
      <c r="M72" s="194">
        <v>11</v>
      </c>
      <c r="N72" s="194">
        <v>0.67500000000000004</v>
      </c>
      <c r="O72" s="194">
        <v>0.75</v>
      </c>
      <c r="P72" s="194">
        <v>12</v>
      </c>
      <c r="Q72" s="194">
        <v>0.64300000000000002</v>
      </c>
      <c r="R72" s="194">
        <v>0.58799999999999997</v>
      </c>
      <c r="S72" s="194">
        <v>17</v>
      </c>
      <c r="T72" s="194">
        <v>0.56799999999999995</v>
      </c>
      <c r="U72" s="194">
        <v>0.61499999999999999</v>
      </c>
      <c r="V72" s="194">
        <v>13</v>
      </c>
      <c r="W72" s="194">
        <v>0.65900000000000003</v>
      </c>
      <c r="X72" s="194">
        <v>0.5</v>
      </c>
      <c r="Y72" s="194">
        <v>14</v>
      </c>
      <c r="Z72" s="194">
        <v>0.68200000000000005</v>
      </c>
      <c r="AA72" s="194">
        <v>0.82399999999999995</v>
      </c>
      <c r="AB72" s="194">
        <v>17</v>
      </c>
      <c r="AC72" s="194">
        <v>0.80500000000000005</v>
      </c>
      <c r="AD72" s="194">
        <v>0.69199999999999995</v>
      </c>
      <c r="AE72" s="194">
        <v>13</v>
      </c>
      <c r="AF72" s="194">
        <v>0.75800000000000001</v>
      </c>
      <c r="AG72" s="194">
        <v>0.90900000000000003</v>
      </c>
      <c r="AH72" s="194">
        <v>11</v>
      </c>
      <c r="AI72" s="194">
        <v>0.8</v>
      </c>
      <c r="AJ72" s="194">
        <v>0.66700000000000004</v>
      </c>
      <c r="AK72" s="194">
        <v>9</v>
      </c>
      <c r="AL72" s="140"/>
      <c r="AM72" s="140"/>
      <c r="AN72" s="140"/>
      <c r="AO72" s="140"/>
      <c r="AP72" s="140"/>
      <c r="AQ72" s="140"/>
      <c r="AR72" s="140"/>
      <c r="AS72" s="140"/>
      <c r="AT72" s="140"/>
      <c r="AU72" s="140"/>
      <c r="AV72" s="140"/>
      <c r="AW72" s="140"/>
      <c r="AX72" s="140"/>
      <c r="AY72" s="140"/>
      <c r="AZ72" s="140"/>
      <c r="BA72" s="140"/>
      <c r="BB72" s="140"/>
      <c r="BC72" s="140"/>
      <c r="BD72" s="140"/>
      <c r="BE72" s="140"/>
      <c r="BF72" s="140"/>
      <c r="BG72" s="140"/>
      <c r="BH72" s="140"/>
      <c r="BI72" s="140"/>
    </row>
    <row r="73" spans="1:61" x14ac:dyDescent="0.3">
      <c r="A73" s="193" t="s">
        <v>492</v>
      </c>
      <c r="B73" s="194">
        <v>0.875</v>
      </c>
      <c r="C73" s="194">
        <v>0.92300000000000004</v>
      </c>
      <c r="D73" s="194">
        <v>13</v>
      </c>
      <c r="E73" s="194">
        <v>0.89700000000000002</v>
      </c>
      <c r="F73" s="194">
        <v>0.81799999999999995</v>
      </c>
      <c r="G73" s="194">
        <v>11</v>
      </c>
      <c r="H73" s="194">
        <v>0.84599999999999997</v>
      </c>
      <c r="I73" s="194">
        <v>0.93300000000000005</v>
      </c>
      <c r="J73" s="194">
        <v>15</v>
      </c>
      <c r="K73" s="194">
        <v>0.88900000000000001</v>
      </c>
      <c r="L73" s="194">
        <v>0.80800000000000005</v>
      </c>
      <c r="M73" s="194">
        <v>26</v>
      </c>
      <c r="N73" s="194">
        <v>0.88200000000000001</v>
      </c>
      <c r="O73" s="194">
        <v>0.95499999999999996</v>
      </c>
      <c r="P73" s="194">
        <v>22</v>
      </c>
      <c r="Q73" s="194">
        <v>0.92600000000000005</v>
      </c>
      <c r="R73" s="194">
        <v>0.89300000000000002</v>
      </c>
      <c r="S73" s="194">
        <v>28</v>
      </c>
      <c r="T73" s="194">
        <v>0.91400000000000003</v>
      </c>
      <c r="U73" s="194">
        <v>0.94399999999999995</v>
      </c>
      <c r="V73" s="194">
        <v>18</v>
      </c>
      <c r="W73" s="194">
        <v>0.91700000000000004</v>
      </c>
      <c r="X73" s="194">
        <v>0.91700000000000004</v>
      </c>
      <c r="Y73" s="194">
        <v>12</v>
      </c>
      <c r="Z73" s="194">
        <v>0.82799999999999996</v>
      </c>
      <c r="AA73" s="194">
        <v>0.88900000000000001</v>
      </c>
      <c r="AB73" s="194">
        <v>18</v>
      </c>
      <c r="AC73" s="194">
        <v>0.82499999999999996</v>
      </c>
      <c r="AD73" s="194">
        <v>0.75</v>
      </c>
      <c r="AE73" s="194">
        <v>28</v>
      </c>
      <c r="AF73" s="194">
        <v>0.80600000000000005</v>
      </c>
      <c r="AG73" s="194">
        <v>0.88200000000000001</v>
      </c>
      <c r="AH73" s="194">
        <v>17</v>
      </c>
      <c r="AI73" s="194">
        <v>0.84599999999999997</v>
      </c>
      <c r="AJ73" s="194">
        <v>0.81799999999999995</v>
      </c>
      <c r="AK73" s="194">
        <v>22</v>
      </c>
      <c r="AL73" s="140"/>
      <c r="AM73" s="140"/>
      <c r="AN73" s="140"/>
      <c r="AO73" s="140"/>
      <c r="AP73" s="140"/>
      <c r="AQ73" s="140"/>
      <c r="AR73" s="140"/>
      <c r="AS73" s="140"/>
      <c r="AT73" s="140"/>
      <c r="AU73" s="140"/>
      <c r="AV73" s="140"/>
      <c r="AW73" s="140"/>
      <c r="AX73" s="140"/>
      <c r="AY73" s="140"/>
      <c r="AZ73" s="140"/>
      <c r="BA73" s="140"/>
      <c r="BB73" s="140"/>
      <c r="BC73" s="140"/>
      <c r="BD73" s="140"/>
      <c r="BE73" s="140"/>
      <c r="BF73" s="140"/>
      <c r="BG73" s="140"/>
      <c r="BH73" s="140"/>
      <c r="BI73" s="140"/>
    </row>
    <row r="74" spans="1:61" x14ac:dyDescent="0.3">
      <c r="A74" s="193" t="s">
        <v>418</v>
      </c>
      <c r="B74" s="194">
        <v>0.73699999999999999</v>
      </c>
      <c r="C74" s="194">
        <v>0.72699999999999998</v>
      </c>
      <c r="D74" s="194">
        <v>11</v>
      </c>
      <c r="E74" s="194">
        <v>0.72399999999999998</v>
      </c>
      <c r="F74" s="194">
        <v>0.75</v>
      </c>
      <c r="G74" s="194">
        <v>8</v>
      </c>
      <c r="H74" s="194">
        <v>0.74199999999999999</v>
      </c>
      <c r="I74" s="194">
        <v>0.7</v>
      </c>
      <c r="J74" s="194">
        <v>10</v>
      </c>
      <c r="K74" s="194">
        <v>0.74199999999999999</v>
      </c>
      <c r="L74" s="194">
        <v>0.76900000000000002</v>
      </c>
      <c r="M74" s="194">
        <v>13</v>
      </c>
      <c r="N74" s="194">
        <v>0.76700000000000002</v>
      </c>
      <c r="O74" s="194">
        <v>0.75</v>
      </c>
      <c r="P74" s="194">
        <v>8</v>
      </c>
      <c r="Q74" s="194">
        <v>0.8</v>
      </c>
      <c r="R74" s="194">
        <v>0.77800000000000002</v>
      </c>
      <c r="S74" s="194">
        <v>9</v>
      </c>
      <c r="T74" s="194">
        <v>0.78100000000000003</v>
      </c>
      <c r="U74" s="194">
        <v>0.875</v>
      </c>
      <c r="V74" s="194">
        <v>8</v>
      </c>
      <c r="W74" s="194">
        <v>0.70299999999999996</v>
      </c>
      <c r="X74" s="194">
        <v>0.73299999999999998</v>
      </c>
      <c r="Y74" s="194">
        <v>15</v>
      </c>
      <c r="Z74" s="194">
        <v>0.60499999999999998</v>
      </c>
      <c r="AA74" s="194">
        <v>0.57099999999999995</v>
      </c>
      <c r="AB74" s="194">
        <v>14</v>
      </c>
      <c r="AC74" s="194">
        <v>0.53100000000000003</v>
      </c>
      <c r="AD74" s="194">
        <v>0.44400000000000001</v>
      </c>
      <c r="AE74" s="194">
        <v>9</v>
      </c>
      <c r="AF74" s="194">
        <v>0.54200000000000004</v>
      </c>
      <c r="AG74" s="194">
        <v>0.55600000000000005</v>
      </c>
      <c r="AH74" s="194">
        <v>9</v>
      </c>
      <c r="AI74" s="194">
        <v>0.6</v>
      </c>
      <c r="AJ74" s="194">
        <v>0.66700000000000004</v>
      </c>
      <c r="AK74" s="194">
        <v>6</v>
      </c>
      <c r="AL74" s="140"/>
      <c r="AM74" s="140"/>
      <c r="AN74" s="140"/>
      <c r="AO74" s="140"/>
      <c r="AP74" s="140"/>
      <c r="AQ74" s="140"/>
      <c r="AR74" s="140"/>
      <c r="AS74" s="140"/>
      <c r="AT74" s="140"/>
      <c r="AU74" s="140"/>
      <c r="AV74" s="140"/>
      <c r="AW74" s="140"/>
      <c r="AX74" s="140"/>
      <c r="AY74" s="140"/>
      <c r="AZ74" s="140"/>
      <c r="BA74" s="140"/>
      <c r="BB74" s="140"/>
      <c r="BC74" s="140"/>
      <c r="BD74" s="140"/>
      <c r="BE74" s="140"/>
      <c r="BF74" s="140"/>
      <c r="BG74" s="140"/>
      <c r="BH74" s="140"/>
      <c r="BI74" s="140"/>
    </row>
    <row r="75" spans="1:61" x14ac:dyDescent="0.3">
      <c r="A75" s="193" t="s">
        <v>382</v>
      </c>
      <c r="B75" s="194">
        <v>0.82399999999999995</v>
      </c>
      <c r="C75" s="194">
        <v>0.75</v>
      </c>
      <c r="D75" s="194">
        <v>8</v>
      </c>
      <c r="E75" s="194">
        <v>0.84</v>
      </c>
      <c r="F75" s="194">
        <v>0.88900000000000001</v>
      </c>
      <c r="G75" s="194">
        <v>9</v>
      </c>
      <c r="H75" s="194">
        <v>0.875</v>
      </c>
      <c r="I75" s="194">
        <v>0.875</v>
      </c>
      <c r="J75" s="194">
        <v>8</v>
      </c>
      <c r="K75" s="194">
        <v>0.83299999999999996</v>
      </c>
      <c r="L75" s="194">
        <v>0.85699999999999998</v>
      </c>
      <c r="M75" s="194">
        <v>7</v>
      </c>
      <c r="N75" s="194">
        <v>0.83899999999999997</v>
      </c>
      <c r="O75" s="194">
        <v>0.8</v>
      </c>
      <c r="P75" s="194">
        <v>15</v>
      </c>
      <c r="Q75" s="194">
        <v>0.86699999999999999</v>
      </c>
      <c r="R75" s="194">
        <v>0.88900000000000001</v>
      </c>
      <c r="S75" s="194">
        <v>9</v>
      </c>
      <c r="T75" s="194">
        <v>0.85</v>
      </c>
      <c r="U75" s="194">
        <v>1</v>
      </c>
      <c r="V75" s="194">
        <v>6</v>
      </c>
      <c r="W75" s="194">
        <v>0.77300000000000002</v>
      </c>
      <c r="X75" s="194">
        <v>0.6</v>
      </c>
      <c r="Y75" s="194">
        <v>5</v>
      </c>
      <c r="Z75" s="194">
        <v>0.70399999999999996</v>
      </c>
      <c r="AA75" s="194">
        <v>0.72699999999999998</v>
      </c>
      <c r="AB75" s="194">
        <v>11</v>
      </c>
      <c r="AC75" s="194">
        <v>0.79400000000000004</v>
      </c>
      <c r="AD75" s="194">
        <v>0.72699999999999998</v>
      </c>
      <c r="AE75" s="194">
        <v>11</v>
      </c>
      <c r="AF75" s="194">
        <v>0.88600000000000001</v>
      </c>
      <c r="AG75" s="194">
        <v>0.91700000000000004</v>
      </c>
      <c r="AH75" s="194">
        <v>12</v>
      </c>
      <c r="AI75" s="194">
        <v>0.95799999999999996</v>
      </c>
      <c r="AJ75" s="194">
        <v>1</v>
      </c>
      <c r="AK75" s="194">
        <v>12</v>
      </c>
      <c r="AL75" s="140"/>
      <c r="AM75" s="140"/>
      <c r="AN75" s="140"/>
      <c r="AO75" s="140"/>
      <c r="AP75" s="140"/>
      <c r="AQ75" s="140"/>
      <c r="AR75" s="140"/>
      <c r="AS75" s="140"/>
      <c r="AT75" s="140"/>
      <c r="AU75" s="140"/>
      <c r="AV75" s="140"/>
      <c r="AW75" s="140"/>
      <c r="AX75" s="140"/>
      <c r="AY75" s="140"/>
      <c r="AZ75" s="140"/>
      <c r="BA75" s="140"/>
      <c r="BB75" s="140"/>
      <c r="BC75" s="140"/>
      <c r="BD75" s="140"/>
      <c r="BE75" s="140"/>
      <c r="BF75" s="140"/>
      <c r="BG75" s="140"/>
      <c r="BH75" s="140"/>
      <c r="BI75" s="140"/>
    </row>
    <row r="76" spans="1:61" x14ac:dyDescent="0.3">
      <c r="A76" s="193" t="s">
        <v>427</v>
      </c>
      <c r="B76" s="194">
        <v>0.77800000000000002</v>
      </c>
      <c r="C76" s="194">
        <v>0.63600000000000001</v>
      </c>
      <c r="D76" s="194">
        <v>11</v>
      </c>
      <c r="E76" s="194">
        <v>0.81100000000000005</v>
      </c>
      <c r="F76" s="194">
        <v>0.875</v>
      </c>
      <c r="G76" s="194">
        <v>16</v>
      </c>
      <c r="H76" s="194">
        <v>0.90900000000000003</v>
      </c>
      <c r="I76" s="194">
        <v>0.9</v>
      </c>
      <c r="J76" s="194">
        <v>10</v>
      </c>
      <c r="K76" s="194">
        <v>0.90200000000000002</v>
      </c>
      <c r="L76" s="194">
        <v>0.94399999999999995</v>
      </c>
      <c r="M76" s="194">
        <v>18</v>
      </c>
      <c r="N76" s="194">
        <v>0.91100000000000003</v>
      </c>
      <c r="O76" s="194">
        <v>0.84599999999999997</v>
      </c>
      <c r="P76" s="194">
        <v>13</v>
      </c>
      <c r="Q76" s="194">
        <v>0.90900000000000003</v>
      </c>
      <c r="R76" s="194">
        <v>0.92900000000000005</v>
      </c>
      <c r="S76" s="194">
        <v>14</v>
      </c>
      <c r="T76" s="194">
        <v>0.91200000000000003</v>
      </c>
      <c r="U76" s="194">
        <v>1</v>
      </c>
      <c r="V76" s="194">
        <v>6</v>
      </c>
      <c r="W76" s="194">
        <v>0.8</v>
      </c>
      <c r="X76" s="194">
        <v>0.85699999999999998</v>
      </c>
      <c r="Y76" s="194">
        <v>14</v>
      </c>
      <c r="Z76" s="194">
        <v>0.75</v>
      </c>
      <c r="AA76" s="194">
        <v>0.6</v>
      </c>
      <c r="AB76" s="194">
        <v>10</v>
      </c>
      <c r="AC76" s="194">
        <v>0.81399999999999995</v>
      </c>
      <c r="AD76" s="194">
        <v>0.75</v>
      </c>
      <c r="AE76" s="194">
        <v>12</v>
      </c>
      <c r="AF76" s="194">
        <v>0.82599999999999996</v>
      </c>
      <c r="AG76" s="194">
        <v>0.95199999999999996</v>
      </c>
      <c r="AH76" s="194">
        <v>21</v>
      </c>
      <c r="AI76" s="194">
        <v>0.85299999999999998</v>
      </c>
      <c r="AJ76" s="194">
        <v>0.69199999999999995</v>
      </c>
      <c r="AK76" s="194">
        <v>13</v>
      </c>
      <c r="AL76" s="140"/>
      <c r="AM76" s="140"/>
      <c r="AN76" s="140"/>
      <c r="AO76" s="140"/>
      <c r="AP76" s="140"/>
      <c r="AQ76" s="140"/>
      <c r="AR76" s="140"/>
      <c r="AS76" s="140"/>
      <c r="AT76" s="140"/>
      <c r="AU76" s="140"/>
      <c r="AV76" s="140"/>
      <c r="AW76" s="140"/>
      <c r="AX76" s="140"/>
      <c r="AY76" s="140"/>
      <c r="AZ76" s="140"/>
      <c r="BA76" s="140"/>
      <c r="BB76" s="140"/>
      <c r="BC76" s="140"/>
      <c r="BD76" s="140"/>
      <c r="BE76" s="140"/>
      <c r="BF76" s="140"/>
      <c r="BG76" s="140"/>
      <c r="BH76" s="140"/>
      <c r="BI76" s="140"/>
    </row>
    <row r="77" spans="1:61" x14ac:dyDescent="0.3">
      <c r="A77" s="193" t="s">
        <v>458</v>
      </c>
      <c r="B77" s="194">
        <v>0.81299999999999994</v>
      </c>
      <c r="C77" s="194">
        <v>0.875</v>
      </c>
      <c r="D77" s="194">
        <v>8</v>
      </c>
      <c r="E77" s="194">
        <v>0.83299999999999996</v>
      </c>
      <c r="F77" s="194">
        <v>0.75</v>
      </c>
      <c r="G77" s="194">
        <v>8</v>
      </c>
      <c r="H77" s="194">
        <v>0.77800000000000002</v>
      </c>
      <c r="I77" s="194">
        <v>0.875</v>
      </c>
      <c r="J77" s="194">
        <v>8</v>
      </c>
      <c r="K77" s="194">
        <v>0.85199999999999998</v>
      </c>
      <c r="L77" s="194">
        <v>0.72699999999999998</v>
      </c>
      <c r="M77" s="194">
        <v>11</v>
      </c>
      <c r="N77" s="194">
        <v>0.85699999999999998</v>
      </c>
      <c r="O77" s="194">
        <v>1</v>
      </c>
      <c r="P77" s="194">
        <v>8</v>
      </c>
      <c r="Q77" s="194">
        <v>0.96199999999999997</v>
      </c>
      <c r="R77" s="194">
        <v>0.88900000000000001</v>
      </c>
      <c r="S77" s="194">
        <v>9</v>
      </c>
      <c r="T77" s="194">
        <v>0.92600000000000005</v>
      </c>
      <c r="U77" s="194">
        <v>1</v>
      </c>
      <c r="V77" s="194">
        <v>9</v>
      </c>
      <c r="W77" s="194">
        <v>0.89700000000000002</v>
      </c>
      <c r="X77" s="194">
        <v>0.88900000000000001</v>
      </c>
      <c r="Y77" s="194">
        <v>9</v>
      </c>
      <c r="Z77" s="194">
        <v>0.83299999999999996</v>
      </c>
      <c r="AA77" s="194">
        <v>0.81799999999999995</v>
      </c>
      <c r="AB77" s="194">
        <v>11</v>
      </c>
      <c r="AC77" s="194">
        <v>0.77400000000000002</v>
      </c>
      <c r="AD77" s="194">
        <v>0.8</v>
      </c>
      <c r="AE77" s="194">
        <v>10</v>
      </c>
      <c r="AF77" s="194">
        <v>0.74199999999999999</v>
      </c>
      <c r="AG77" s="194">
        <v>0.7</v>
      </c>
      <c r="AH77" s="194">
        <v>10</v>
      </c>
      <c r="AI77" s="194">
        <v>0.71399999999999997</v>
      </c>
      <c r="AJ77" s="194">
        <v>0.72699999999999998</v>
      </c>
      <c r="AK77" s="194">
        <v>11</v>
      </c>
      <c r="AL77" s="140"/>
      <c r="AM77" s="140"/>
      <c r="AN77" s="140"/>
      <c r="AO77" s="140"/>
      <c r="AP77" s="140"/>
      <c r="AQ77" s="140"/>
      <c r="AR77" s="140"/>
      <c r="AS77" s="140"/>
      <c r="AT77" s="140"/>
      <c r="AU77" s="140"/>
      <c r="AV77" s="140"/>
      <c r="AW77" s="140"/>
      <c r="AX77" s="140"/>
      <c r="AY77" s="140"/>
      <c r="AZ77" s="140"/>
      <c r="BA77" s="140"/>
      <c r="BB77" s="140"/>
      <c r="BC77" s="140"/>
      <c r="BD77" s="140"/>
      <c r="BE77" s="140"/>
      <c r="BF77" s="140"/>
      <c r="BG77" s="140"/>
      <c r="BH77" s="140"/>
      <c r="BI77" s="140"/>
    </row>
    <row r="78" spans="1:61" x14ac:dyDescent="0.3">
      <c r="A78" s="193" t="s">
        <v>330</v>
      </c>
      <c r="B78" s="194">
        <v>0.87</v>
      </c>
      <c r="C78" s="194">
        <v>0.83299999999999996</v>
      </c>
      <c r="D78" s="194">
        <v>24</v>
      </c>
      <c r="E78" s="194">
        <v>0.72599999999999998</v>
      </c>
      <c r="F78" s="194">
        <v>0.90900000000000003</v>
      </c>
      <c r="G78" s="194">
        <v>22</v>
      </c>
      <c r="H78" s="194">
        <v>0.65200000000000002</v>
      </c>
      <c r="I78" s="194">
        <v>0.48099999999999998</v>
      </c>
      <c r="J78" s="194">
        <v>27</v>
      </c>
      <c r="K78" s="194">
        <v>0.53600000000000003</v>
      </c>
      <c r="L78" s="194">
        <v>0.58799999999999997</v>
      </c>
      <c r="M78" s="194">
        <v>17</v>
      </c>
      <c r="N78" s="194">
        <v>0.46800000000000003</v>
      </c>
      <c r="O78" s="194">
        <v>0.58299999999999996</v>
      </c>
      <c r="P78" s="194">
        <v>12</v>
      </c>
      <c r="Q78" s="194">
        <v>0.38800000000000001</v>
      </c>
      <c r="R78" s="194">
        <v>0.27800000000000002</v>
      </c>
      <c r="S78" s="194">
        <v>18</v>
      </c>
      <c r="T78" s="194">
        <v>0.41399999999999998</v>
      </c>
      <c r="U78" s="194">
        <v>0.36799999999999999</v>
      </c>
      <c r="V78" s="194">
        <v>19</v>
      </c>
      <c r="W78" s="194">
        <v>0.47599999999999998</v>
      </c>
      <c r="X78" s="194">
        <v>0.57099999999999995</v>
      </c>
      <c r="Y78" s="194">
        <v>21</v>
      </c>
      <c r="Z78" s="194">
        <v>0.51500000000000001</v>
      </c>
      <c r="AA78" s="194">
        <v>0.47799999999999998</v>
      </c>
      <c r="AB78" s="194">
        <v>23</v>
      </c>
      <c r="AC78" s="194">
        <v>0.50700000000000001</v>
      </c>
      <c r="AD78" s="194">
        <v>0.5</v>
      </c>
      <c r="AE78" s="194">
        <v>22</v>
      </c>
      <c r="AF78" s="194">
        <v>0.53</v>
      </c>
      <c r="AG78" s="194">
        <v>0.53600000000000003</v>
      </c>
      <c r="AH78" s="194">
        <v>28</v>
      </c>
      <c r="AI78" s="194">
        <v>0.54500000000000004</v>
      </c>
      <c r="AJ78" s="194">
        <v>0.56299999999999994</v>
      </c>
      <c r="AK78" s="194">
        <v>16</v>
      </c>
      <c r="AL78" s="140"/>
      <c r="AM78" s="140"/>
      <c r="AN78" s="140"/>
      <c r="AO78" s="140"/>
      <c r="AP78" s="140"/>
      <c r="AQ78" s="140"/>
      <c r="AR78" s="140"/>
      <c r="AS78" s="140"/>
      <c r="AT78" s="140"/>
      <c r="AU78" s="140"/>
      <c r="AV78" s="140"/>
      <c r="AW78" s="140"/>
      <c r="AX78" s="140"/>
      <c r="AY78" s="140"/>
      <c r="AZ78" s="140"/>
      <c r="BA78" s="140"/>
      <c r="BB78" s="140"/>
      <c r="BC78" s="140"/>
      <c r="BD78" s="140"/>
      <c r="BE78" s="140"/>
      <c r="BF78" s="140"/>
      <c r="BG78" s="140"/>
      <c r="BH78" s="140"/>
      <c r="BI78" s="140"/>
    </row>
    <row r="79" spans="1:61" x14ac:dyDescent="0.3">
      <c r="A79" s="193" t="s">
        <v>404</v>
      </c>
      <c r="B79" s="194">
        <v>0.125</v>
      </c>
      <c r="C79" s="194">
        <v>0.1</v>
      </c>
      <c r="D79" s="194">
        <v>10</v>
      </c>
      <c r="E79" s="194">
        <v>0.16300000000000001</v>
      </c>
      <c r="F79" s="194">
        <v>0.14299999999999999</v>
      </c>
      <c r="G79" s="194">
        <v>14</v>
      </c>
      <c r="H79" s="194">
        <v>0.42599999999999999</v>
      </c>
      <c r="I79" s="194">
        <v>0.21099999999999999</v>
      </c>
      <c r="J79" s="194">
        <v>19</v>
      </c>
      <c r="K79" s="194">
        <v>0.63800000000000001</v>
      </c>
      <c r="L79" s="194">
        <v>0.81</v>
      </c>
      <c r="M79" s="194">
        <v>21</v>
      </c>
      <c r="N79" s="194">
        <v>0.80400000000000005</v>
      </c>
      <c r="O79" s="194">
        <v>0.88900000000000001</v>
      </c>
      <c r="P79" s="194">
        <v>18</v>
      </c>
      <c r="Q79" s="194">
        <v>0.75</v>
      </c>
      <c r="R79" s="194">
        <v>0.66700000000000004</v>
      </c>
      <c r="S79" s="194">
        <v>12</v>
      </c>
      <c r="T79" s="194">
        <v>0.76800000000000002</v>
      </c>
      <c r="U79" s="194">
        <v>0.68200000000000005</v>
      </c>
      <c r="V79" s="194">
        <v>22</v>
      </c>
      <c r="W79" s="194">
        <v>0.78900000000000003</v>
      </c>
      <c r="X79" s="194">
        <v>0.90900000000000003</v>
      </c>
      <c r="Y79" s="194">
        <v>22</v>
      </c>
      <c r="Z79" s="194">
        <v>0.80600000000000005</v>
      </c>
      <c r="AA79" s="194">
        <v>0.77800000000000002</v>
      </c>
      <c r="AB79" s="194">
        <v>27</v>
      </c>
      <c r="AC79" s="194">
        <v>0.72199999999999998</v>
      </c>
      <c r="AD79" s="194">
        <v>0.73899999999999999</v>
      </c>
      <c r="AE79" s="194">
        <v>23</v>
      </c>
      <c r="AF79" s="194">
        <v>0.67600000000000005</v>
      </c>
      <c r="AG79" s="194">
        <v>0.63600000000000001</v>
      </c>
      <c r="AH79" s="194">
        <v>22</v>
      </c>
      <c r="AI79" s="194">
        <v>0.64400000000000002</v>
      </c>
      <c r="AJ79" s="194">
        <v>0.65200000000000002</v>
      </c>
      <c r="AK79" s="194">
        <v>23</v>
      </c>
      <c r="AL79" s="140"/>
      <c r="AM79" s="140"/>
      <c r="AN79" s="140"/>
      <c r="AO79" s="140"/>
      <c r="AP79" s="140"/>
      <c r="AQ79" s="140"/>
      <c r="AR79" s="140"/>
      <c r="AS79" s="140"/>
      <c r="AT79" s="140"/>
      <c r="AU79" s="140"/>
      <c r="AV79" s="140"/>
      <c r="AW79" s="140"/>
      <c r="AX79" s="140"/>
      <c r="AY79" s="140"/>
      <c r="AZ79" s="140"/>
      <c r="BA79" s="140"/>
      <c r="BB79" s="140"/>
      <c r="BC79" s="140"/>
      <c r="BD79" s="140"/>
      <c r="BE79" s="140"/>
      <c r="BF79" s="140"/>
      <c r="BG79" s="140"/>
      <c r="BH79" s="140"/>
      <c r="BI79" s="140"/>
    </row>
    <row r="80" spans="1:61" x14ac:dyDescent="0.3">
      <c r="A80" s="193" t="s">
        <v>504</v>
      </c>
      <c r="B80" s="194">
        <v>0.61099999999999999</v>
      </c>
      <c r="C80" s="194">
        <v>0.5</v>
      </c>
      <c r="D80" s="194">
        <v>8</v>
      </c>
      <c r="E80" s="194">
        <v>0.625</v>
      </c>
      <c r="F80" s="194">
        <v>0.7</v>
      </c>
      <c r="G80" s="194">
        <v>10</v>
      </c>
      <c r="H80" s="194">
        <v>0.61799999999999999</v>
      </c>
      <c r="I80" s="194">
        <v>0.64300000000000002</v>
      </c>
      <c r="J80" s="194">
        <v>14</v>
      </c>
      <c r="K80" s="194">
        <v>0.6</v>
      </c>
      <c r="L80" s="194">
        <v>0.5</v>
      </c>
      <c r="M80" s="194">
        <v>10</v>
      </c>
      <c r="N80" s="194">
        <v>0.52</v>
      </c>
      <c r="O80" s="194">
        <v>0.66700000000000004</v>
      </c>
      <c r="P80" s="194">
        <v>6</v>
      </c>
      <c r="Q80" s="194">
        <v>0.52400000000000002</v>
      </c>
      <c r="R80" s="194">
        <v>0.44400000000000001</v>
      </c>
      <c r="S80" s="194">
        <v>9</v>
      </c>
      <c r="T80" s="194">
        <v>0.39100000000000001</v>
      </c>
      <c r="U80" s="194">
        <v>0.5</v>
      </c>
      <c r="V80" s="194">
        <v>6</v>
      </c>
      <c r="W80" s="194">
        <v>0.28599999999999998</v>
      </c>
      <c r="X80" s="194">
        <v>0.25</v>
      </c>
      <c r="Y80" s="194">
        <v>8</v>
      </c>
      <c r="Z80" s="194">
        <v>0.214</v>
      </c>
      <c r="AA80" s="194">
        <v>0.14299999999999999</v>
      </c>
      <c r="AB80" s="194">
        <v>7</v>
      </c>
      <c r="AC80" s="194">
        <v>0.219</v>
      </c>
      <c r="AD80" s="194">
        <v>0.23100000000000001</v>
      </c>
      <c r="AE80" s="194">
        <v>13</v>
      </c>
      <c r="AF80" s="194">
        <v>0.35899999999999999</v>
      </c>
      <c r="AG80" s="194">
        <v>0.25</v>
      </c>
      <c r="AH80" s="194">
        <v>12</v>
      </c>
      <c r="AI80" s="194">
        <v>0.42299999999999999</v>
      </c>
      <c r="AJ80" s="194">
        <v>0.57099999999999995</v>
      </c>
      <c r="AK80" s="194">
        <v>14</v>
      </c>
      <c r="AL80" s="140"/>
      <c r="AM80" s="140"/>
      <c r="AN80" s="140"/>
      <c r="AO80" s="140"/>
      <c r="AP80" s="140"/>
      <c r="AQ80" s="140"/>
      <c r="AR80" s="140"/>
      <c r="AS80" s="140"/>
      <c r="AT80" s="140"/>
      <c r="AU80" s="140"/>
      <c r="AV80" s="140"/>
      <c r="AW80" s="140"/>
      <c r="AX80" s="140"/>
      <c r="AY80" s="140"/>
      <c r="AZ80" s="140"/>
      <c r="BA80" s="140"/>
      <c r="BB80" s="140"/>
      <c r="BC80" s="140"/>
      <c r="BD80" s="140"/>
      <c r="BE80" s="140"/>
      <c r="BF80" s="140"/>
      <c r="BG80" s="140"/>
      <c r="BH80" s="140"/>
      <c r="BI80" s="140"/>
    </row>
    <row r="81" spans="1:61" x14ac:dyDescent="0.3">
      <c r="A81" s="193" t="s">
        <v>310</v>
      </c>
      <c r="B81" s="194">
        <v>1</v>
      </c>
      <c r="C81" s="194">
        <v>1</v>
      </c>
      <c r="D81" s="194">
        <v>12</v>
      </c>
      <c r="E81" s="194">
        <v>1</v>
      </c>
      <c r="F81" s="194">
        <v>1</v>
      </c>
      <c r="G81" s="194">
        <v>8</v>
      </c>
      <c r="H81" s="194">
        <v>0.95499999999999996</v>
      </c>
      <c r="I81" s="194">
        <v>1</v>
      </c>
      <c r="J81" s="194">
        <v>8</v>
      </c>
      <c r="K81" s="194">
        <v>0.96</v>
      </c>
      <c r="L81" s="194">
        <v>0.83299999999999996</v>
      </c>
      <c r="M81" s="194">
        <v>6</v>
      </c>
      <c r="N81" s="194">
        <v>0.96299999999999997</v>
      </c>
      <c r="O81" s="194">
        <v>1</v>
      </c>
      <c r="P81" s="194">
        <v>11</v>
      </c>
      <c r="Q81" s="194">
        <v>0.93500000000000005</v>
      </c>
      <c r="R81" s="194">
        <v>1</v>
      </c>
      <c r="S81" s="194">
        <v>10</v>
      </c>
      <c r="T81" s="194">
        <v>0.875</v>
      </c>
      <c r="U81" s="194">
        <v>0.8</v>
      </c>
      <c r="V81" s="194">
        <v>10</v>
      </c>
      <c r="W81" s="194">
        <v>0.83299999999999996</v>
      </c>
      <c r="X81" s="194">
        <v>0.83299999999999996</v>
      </c>
      <c r="Y81" s="194">
        <v>12</v>
      </c>
      <c r="Z81" s="194">
        <v>0.85099999999999998</v>
      </c>
      <c r="AA81" s="194">
        <v>0.85</v>
      </c>
      <c r="AB81" s="194">
        <v>20</v>
      </c>
      <c r="AC81" s="194">
        <v>0.875</v>
      </c>
      <c r="AD81" s="194">
        <v>0.86699999999999999</v>
      </c>
      <c r="AE81" s="194">
        <v>15</v>
      </c>
      <c r="AF81" s="194">
        <v>0.89400000000000002</v>
      </c>
      <c r="AG81" s="194">
        <v>0.92300000000000004</v>
      </c>
      <c r="AH81" s="194">
        <v>13</v>
      </c>
      <c r="AI81" s="194">
        <v>0.90600000000000003</v>
      </c>
      <c r="AJ81" s="194">
        <v>0.89500000000000002</v>
      </c>
      <c r="AK81" s="194">
        <v>19</v>
      </c>
      <c r="AL81" s="140"/>
      <c r="AM81" s="140"/>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row>
    <row r="82" spans="1:61" x14ac:dyDescent="0.3">
      <c r="A82" s="193" t="s">
        <v>498</v>
      </c>
      <c r="B82" s="194">
        <v>0.5</v>
      </c>
      <c r="C82" s="194">
        <v>0.5</v>
      </c>
      <c r="D82" s="194">
        <v>2</v>
      </c>
      <c r="E82" s="194">
        <v>0.6</v>
      </c>
      <c r="F82" s="194">
        <v>0.5</v>
      </c>
      <c r="G82" s="194">
        <v>2</v>
      </c>
      <c r="H82" s="194">
        <v>0.8</v>
      </c>
      <c r="I82" s="194">
        <v>1</v>
      </c>
      <c r="J82" s="194">
        <v>1</v>
      </c>
      <c r="K82" s="194">
        <v>0.83299999999999996</v>
      </c>
      <c r="L82" s="194">
        <v>1</v>
      </c>
      <c r="M82" s="194">
        <v>2</v>
      </c>
      <c r="N82" s="194">
        <v>0.66700000000000004</v>
      </c>
      <c r="O82" s="194">
        <v>0.66700000000000004</v>
      </c>
      <c r="P82" s="194">
        <v>3</v>
      </c>
      <c r="Q82" s="194">
        <v>0.4</v>
      </c>
      <c r="R82" s="194">
        <v>0</v>
      </c>
      <c r="S82" s="194">
        <v>1</v>
      </c>
      <c r="T82" s="194">
        <v>0.5</v>
      </c>
      <c r="U82" s="194">
        <v>0</v>
      </c>
      <c r="V82" s="194">
        <v>1</v>
      </c>
      <c r="W82" s="194">
        <v>0.6</v>
      </c>
      <c r="X82" s="194">
        <v>0.75</v>
      </c>
      <c r="Y82" s="194">
        <v>4</v>
      </c>
      <c r="Z82" s="194">
        <v>0.8</v>
      </c>
      <c r="AA82" s="194"/>
      <c r="AB82" s="194"/>
      <c r="AC82" s="194">
        <v>1</v>
      </c>
      <c r="AD82" s="194">
        <v>1</v>
      </c>
      <c r="AE82" s="194">
        <v>1</v>
      </c>
      <c r="AF82" s="194">
        <v>1</v>
      </c>
      <c r="AG82" s="194">
        <v>1</v>
      </c>
      <c r="AH82" s="194">
        <v>3</v>
      </c>
      <c r="AI82" s="194">
        <v>1</v>
      </c>
      <c r="AJ82" s="194">
        <v>1</v>
      </c>
      <c r="AK82" s="194">
        <v>1</v>
      </c>
      <c r="AL82" s="140"/>
      <c r="AM82" s="140"/>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row>
    <row r="83" spans="1:61" x14ac:dyDescent="0.3">
      <c r="A83" s="193" t="s">
        <v>372</v>
      </c>
      <c r="B83" s="194">
        <v>0.8</v>
      </c>
      <c r="C83" s="194">
        <v>1</v>
      </c>
      <c r="D83" s="194">
        <v>3</v>
      </c>
      <c r="E83" s="194">
        <v>0.77800000000000002</v>
      </c>
      <c r="F83" s="194">
        <v>0.5</v>
      </c>
      <c r="G83" s="194">
        <v>2</v>
      </c>
      <c r="H83" s="194">
        <v>0.81799999999999995</v>
      </c>
      <c r="I83" s="194">
        <v>0.75</v>
      </c>
      <c r="J83" s="194">
        <v>4</v>
      </c>
      <c r="K83" s="194">
        <v>0.93799999999999994</v>
      </c>
      <c r="L83" s="194">
        <v>1</v>
      </c>
      <c r="M83" s="194">
        <v>5</v>
      </c>
      <c r="N83" s="194">
        <v>0.88900000000000001</v>
      </c>
      <c r="O83" s="194">
        <v>1</v>
      </c>
      <c r="P83" s="194">
        <v>7</v>
      </c>
      <c r="Q83" s="194">
        <v>0.81799999999999995</v>
      </c>
      <c r="R83" s="194">
        <v>0.66700000000000004</v>
      </c>
      <c r="S83" s="194">
        <v>6</v>
      </c>
      <c r="T83" s="194">
        <v>0.79200000000000004</v>
      </c>
      <c r="U83" s="194">
        <v>0.77800000000000002</v>
      </c>
      <c r="V83" s="194">
        <v>9</v>
      </c>
      <c r="W83" s="194">
        <v>0.84</v>
      </c>
      <c r="X83" s="194">
        <v>0.88900000000000001</v>
      </c>
      <c r="Y83" s="194">
        <v>9</v>
      </c>
      <c r="Z83" s="194">
        <v>0.87</v>
      </c>
      <c r="AA83" s="194">
        <v>0.85699999999999998</v>
      </c>
      <c r="AB83" s="194">
        <v>7</v>
      </c>
      <c r="AC83" s="194">
        <v>0.90500000000000003</v>
      </c>
      <c r="AD83" s="194">
        <v>0.85699999999999998</v>
      </c>
      <c r="AE83" s="194">
        <v>7</v>
      </c>
      <c r="AF83" s="194">
        <v>0.83299999999999996</v>
      </c>
      <c r="AG83" s="194">
        <v>1</v>
      </c>
      <c r="AH83" s="194">
        <v>7</v>
      </c>
      <c r="AI83" s="194">
        <v>0.82399999999999995</v>
      </c>
      <c r="AJ83" s="194">
        <v>0.7</v>
      </c>
      <c r="AK83" s="194">
        <v>10</v>
      </c>
      <c r="AL83" s="140"/>
      <c r="AM83" s="140"/>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row>
    <row r="84" spans="1:61" x14ac:dyDescent="0.3">
      <c r="A84" s="193" t="s">
        <v>354</v>
      </c>
      <c r="B84" s="194">
        <v>0.8</v>
      </c>
      <c r="C84" s="194">
        <v>0.75</v>
      </c>
      <c r="D84" s="194">
        <v>4</v>
      </c>
      <c r="E84" s="194">
        <v>0.75</v>
      </c>
      <c r="F84" s="194">
        <v>1</v>
      </c>
      <c r="G84" s="194">
        <v>1</v>
      </c>
      <c r="H84" s="194">
        <v>0.68799999999999994</v>
      </c>
      <c r="I84" s="194">
        <v>0.71399999999999997</v>
      </c>
      <c r="J84" s="194">
        <v>7</v>
      </c>
      <c r="K84" s="194">
        <v>0.66700000000000004</v>
      </c>
      <c r="L84" s="194">
        <v>0.625</v>
      </c>
      <c r="M84" s="194">
        <v>8</v>
      </c>
      <c r="N84" s="194">
        <v>0.69199999999999995</v>
      </c>
      <c r="O84" s="194">
        <v>0.66700000000000004</v>
      </c>
      <c r="P84" s="194">
        <v>3</v>
      </c>
      <c r="Q84" s="194">
        <v>0.85699999999999998</v>
      </c>
      <c r="R84" s="194">
        <v>1</v>
      </c>
      <c r="S84" s="194">
        <v>2</v>
      </c>
      <c r="T84" s="194">
        <v>0.95199999999999996</v>
      </c>
      <c r="U84" s="194">
        <v>0.88900000000000001</v>
      </c>
      <c r="V84" s="194">
        <v>9</v>
      </c>
      <c r="W84" s="194">
        <v>0.92</v>
      </c>
      <c r="X84" s="194">
        <v>1</v>
      </c>
      <c r="Y84" s="194">
        <v>10</v>
      </c>
      <c r="Z84" s="194">
        <v>0.84199999999999997</v>
      </c>
      <c r="AA84" s="194">
        <v>0.83299999999999996</v>
      </c>
      <c r="AB84" s="194">
        <v>6</v>
      </c>
      <c r="AC84" s="194">
        <v>0.66700000000000004</v>
      </c>
      <c r="AD84" s="194">
        <v>0.33300000000000002</v>
      </c>
      <c r="AE84" s="194">
        <v>3</v>
      </c>
      <c r="AF84" s="194">
        <v>0.44400000000000001</v>
      </c>
      <c r="AG84" s="194">
        <v>0.66700000000000004</v>
      </c>
      <c r="AH84" s="194">
        <v>3</v>
      </c>
      <c r="AI84" s="194">
        <v>0.5</v>
      </c>
      <c r="AJ84" s="194">
        <v>0.33300000000000002</v>
      </c>
      <c r="AK84" s="194">
        <v>3</v>
      </c>
      <c r="AL84" s="140"/>
      <c r="AM84" s="140"/>
      <c r="AN84" s="140"/>
      <c r="AO84" s="140"/>
      <c r="AP84" s="140"/>
      <c r="AQ84" s="140"/>
      <c r="AR84" s="140"/>
      <c r="AS84" s="140"/>
      <c r="AT84" s="140"/>
      <c r="AU84" s="140"/>
      <c r="AV84" s="140"/>
      <c r="AW84" s="140"/>
      <c r="AX84" s="140"/>
      <c r="AY84" s="140"/>
      <c r="AZ84" s="140"/>
      <c r="BA84" s="140"/>
      <c r="BB84" s="140"/>
      <c r="BC84" s="140"/>
      <c r="BD84" s="140"/>
      <c r="BE84" s="140"/>
      <c r="BF84" s="140"/>
      <c r="BG84" s="140"/>
      <c r="BH84" s="140"/>
      <c r="BI84" s="140"/>
    </row>
    <row r="85" spans="1:61" x14ac:dyDescent="0.3">
      <c r="A85" s="193" t="s">
        <v>390</v>
      </c>
      <c r="B85" s="194">
        <v>0.88900000000000001</v>
      </c>
      <c r="C85" s="194">
        <v>0.93300000000000005</v>
      </c>
      <c r="D85" s="194">
        <v>30</v>
      </c>
      <c r="E85" s="194">
        <v>0.88700000000000001</v>
      </c>
      <c r="F85" s="194">
        <v>0.84799999999999998</v>
      </c>
      <c r="G85" s="194">
        <v>33</v>
      </c>
      <c r="H85" s="194">
        <v>0.87</v>
      </c>
      <c r="I85" s="194">
        <v>0.88200000000000001</v>
      </c>
      <c r="J85" s="194">
        <v>34</v>
      </c>
      <c r="K85" s="194">
        <v>0.88500000000000001</v>
      </c>
      <c r="L85" s="194">
        <v>0.88</v>
      </c>
      <c r="M85" s="194">
        <v>25</v>
      </c>
      <c r="N85" s="194">
        <v>0.90100000000000002</v>
      </c>
      <c r="O85" s="194">
        <v>0.89200000000000002</v>
      </c>
      <c r="P85" s="194">
        <v>37</v>
      </c>
      <c r="Q85" s="194">
        <v>0.89100000000000001</v>
      </c>
      <c r="R85" s="194">
        <v>0.92300000000000004</v>
      </c>
      <c r="S85" s="194">
        <v>39</v>
      </c>
      <c r="T85" s="194">
        <v>0.873</v>
      </c>
      <c r="U85" s="194">
        <v>0.85299999999999998</v>
      </c>
      <c r="V85" s="194">
        <v>34</v>
      </c>
      <c r="W85" s="194">
        <v>0.84499999999999997</v>
      </c>
      <c r="X85" s="194">
        <v>0.83799999999999997</v>
      </c>
      <c r="Y85" s="194">
        <v>37</v>
      </c>
      <c r="Z85" s="194">
        <v>0.83699999999999997</v>
      </c>
      <c r="AA85" s="194">
        <v>0.84599999999999997</v>
      </c>
      <c r="AB85" s="194">
        <v>39</v>
      </c>
      <c r="AC85" s="194">
        <v>0.81299999999999994</v>
      </c>
      <c r="AD85" s="194">
        <v>0.82099999999999995</v>
      </c>
      <c r="AE85" s="194">
        <v>28</v>
      </c>
      <c r="AF85" s="194">
        <v>0.75800000000000001</v>
      </c>
      <c r="AG85" s="194">
        <v>0.75900000000000001</v>
      </c>
      <c r="AH85" s="194">
        <v>29</v>
      </c>
      <c r="AI85" s="194">
        <v>0.73099999999999998</v>
      </c>
      <c r="AJ85" s="194">
        <v>0.71099999999999997</v>
      </c>
      <c r="AK85" s="194">
        <v>38</v>
      </c>
      <c r="AL85" s="140"/>
      <c r="AM85" s="140"/>
      <c r="AN85" s="140"/>
      <c r="AO85" s="140"/>
      <c r="AP85" s="140"/>
      <c r="AQ85" s="140"/>
      <c r="AR85" s="140"/>
      <c r="AS85" s="140"/>
      <c r="AT85" s="140"/>
      <c r="AU85" s="140"/>
      <c r="AV85" s="140"/>
      <c r="AW85" s="140"/>
      <c r="AX85" s="140"/>
      <c r="AY85" s="140"/>
      <c r="AZ85" s="140"/>
      <c r="BA85" s="140"/>
      <c r="BB85" s="140"/>
      <c r="BC85" s="140"/>
      <c r="BD85" s="140"/>
      <c r="BE85" s="140"/>
      <c r="BF85" s="140"/>
      <c r="BG85" s="140"/>
      <c r="BH85" s="140"/>
      <c r="BI85" s="140"/>
    </row>
    <row r="86" spans="1:61" x14ac:dyDescent="0.3">
      <c r="A86" s="193" t="s">
        <v>548</v>
      </c>
      <c r="B86" s="194">
        <v>0.90600000000000003</v>
      </c>
      <c r="C86" s="194">
        <v>0.95499999999999996</v>
      </c>
      <c r="D86" s="194">
        <v>22</v>
      </c>
      <c r="E86" s="194">
        <v>0.93899999999999995</v>
      </c>
      <c r="F86" s="194">
        <v>0.8</v>
      </c>
      <c r="G86" s="194">
        <v>10</v>
      </c>
      <c r="H86" s="194">
        <v>0.95699999999999996</v>
      </c>
      <c r="I86" s="194">
        <v>1</v>
      </c>
      <c r="J86" s="194">
        <v>17</v>
      </c>
      <c r="K86" s="194">
        <v>0.96399999999999997</v>
      </c>
      <c r="L86" s="194">
        <v>1</v>
      </c>
      <c r="M86" s="194">
        <v>19</v>
      </c>
      <c r="N86" s="194">
        <v>0.94699999999999995</v>
      </c>
      <c r="O86" s="194">
        <v>0.89500000000000002</v>
      </c>
      <c r="P86" s="194">
        <v>19</v>
      </c>
      <c r="Q86" s="194">
        <v>0.93100000000000005</v>
      </c>
      <c r="R86" s="194">
        <v>0.94699999999999995</v>
      </c>
      <c r="S86" s="194">
        <v>19</v>
      </c>
      <c r="T86" s="194">
        <v>0.96599999999999997</v>
      </c>
      <c r="U86" s="194">
        <v>0.95</v>
      </c>
      <c r="V86" s="194">
        <v>20</v>
      </c>
      <c r="W86" s="194">
        <v>0.88500000000000001</v>
      </c>
      <c r="X86" s="194">
        <v>1</v>
      </c>
      <c r="Y86" s="194">
        <v>20</v>
      </c>
      <c r="Z86" s="194">
        <v>0.79</v>
      </c>
      <c r="AA86" s="194">
        <v>0.71399999999999997</v>
      </c>
      <c r="AB86" s="194">
        <v>21</v>
      </c>
      <c r="AC86" s="194">
        <v>0.66200000000000003</v>
      </c>
      <c r="AD86" s="194">
        <v>0.66700000000000004</v>
      </c>
      <c r="AE86" s="194">
        <v>21</v>
      </c>
      <c r="AF86" s="194">
        <v>0.64700000000000002</v>
      </c>
      <c r="AG86" s="194">
        <v>0.60899999999999999</v>
      </c>
      <c r="AH86" s="194">
        <v>23</v>
      </c>
      <c r="AI86" s="194">
        <v>0.63800000000000001</v>
      </c>
      <c r="AJ86" s="194">
        <v>0.66700000000000004</v>
      </c>
      <c r="AK86" s="194">
        <v>24</v>
      </c>
      <c r="AL86" s="140"/>
      <c r="AM86" s="140"/>
      <c r="AN86" s="140"/>
      <c r="AO86" s="140"/>
      <c r="AP86" s="140"/>
      <c r="AQ86" s="140"/>
      <c r="AR86" s="140"/>
      <c r="AS86" s="140"/>
      <c r="AT86" s="140"/>
      <c r="AU86" s="140"/>
      <c r="AV86" s="140"/>
      <c r="AW86" s="140"/>
      <c r="AX86" s="140"/>
      <c r="AY86" s="140"/>
      <c r="AZ86" s="140"/>
      <c r="BA86" s="140"/>
      <c r="BB86" s="140"/>
      <c r="BC86" s="140"/>
      <c r="BD86" s="140"/>
      <c r="BE86" s="140"/>
      <c r="BF86" s="140"/>
      <c r="BG86" s="140"/>
      <c r="BH86" s="140"/>
      <c r="BI86" s="140"/>
    </row>
    <row r="87" spans="1:61" x14ac:dyDescent="0.3">
      <c r="A87" s="193" t="s">
        <v>518</v>
      </c>
      <c r="B87" s="194">
        <v>0.71599999999999997</v>
      </c>
      <c r="C87" s="194">
        <v>0.64700000000000002</v>
      </c>
      <c r="D87" s="194">
        <v>34</v>
      </c>
      <c r="E87" s="194">
        <v>0.71899999999999997</v>
      </c>
      <c r="F87" s="194">
        <v>0.78800000000000003</v>
      </c>
      <c r="G87" s="194">
        <v>33</v>
      </c>
      <c r="H87" s="194">
        <v>0.753</v>
      </c>
      <c r="I87" s="194">
        <v>0.72399999999999998</v>
      </c>
      <c r="J87" s="194">
        <v>29</v>
      </c>
      <c r="K87" s="194">
        <v>0.73099999999999998</v>
      </c>
      <c r="L87" s="194">
        <v>0.74199999999999999</v>
      </c>
      <c r="M87" s="194">
        <v>31</v>
      </c>
      <c r="N87" s="194">
        <v>0.7</v>
      </c>
      <c r="O87" s="194">
        <v>0.72699999999999998</v>
      </c>
      <c r="P87" s="194">
        <v>44</v>
      </c>
      <c r="Q87" s="194">
        <v>0.66700000000000004</v>
      </c>
      <c r="R87" s="194">
        <v>0.6</v>
      </c>
      <c r="S87" s="194">
        <v>25</v>
      </c>
      <c r="T87" s="194">
        <v>0.67800000000000005</v>
      </c>
      <c r="U87" s="194">
        <v>0.63600000000000001</v>
      </c>
      <c r="V87" s="194">
        <v>33</v>
      </c>
      <c r="W87" s="194">
        <v>0.67</v>
      </c>
      <c r="X87" s="194">
        <v>0.78100000000000003</v>
      </c>
      <c r="Y87" s="194">
        <v>32</v>
      </c>
      <c r="Z87" s="194">
        <v>0.64</v>
      </c>
      <c r="AA87" s="194">
        <v>0.62</v>
      </c>
      <c r="AB87" s="194">
        <v>50</v>
      </c>
      <c r="AC87" s="194">
        <v>0.45700000000000002</v>
      </c>
      <c r="AD87" s="194">
        <v>0.51700000000000002</v>
      </c>
      <c r="AE87" s="194">
        <v>29</v>
      </c>
      <c r="AF87" s="194">
        <v>0.42699999999999999</v>
      </c>
      <c r="AG87" s="194">
        <v>0.25</v>
      </c>
      <c r="AH87" s="194">
        <v>48</v>
      </c>
      <c r="AI87" s="194">
        <v>0.39800000000000002</v>
      </c>
      <c r="AJ87" s="194">
        <v>0.57499999999999996</v>
      </c>
      <c r="AK87" s="194">
        <v>40</v>
      </c>
      <c r="AL87" s="140"/>
      <c r="AM87" s="140"/>
      <c r="AN87" s="140"/>
      <c r="AO87" s="140"/>
      <c r="AP87" s="140"/>
      <c r="AQ87" s="140"/>
      <c r="AR87" s="140"/>
      <c r="AS87" s="140"/>
      <c r="AT87" s="140"/>
      <c r="AU87" s="140"/>
      <c r="AV87" s="140"/>
      <c r="AW87" s="140"/>
      <c r="AX87" s="140"/>
      <c r="AY87" s="140"/>
      <c r="AZ87" s="140"/>
      <c r="BA87" s="140"/>
      <c r="BB87" s="140"/>
      <c r="BC87" s="140"/>
      <c r="BD87" s="140"/>
      <c r="BE87" s="140"/>
      <c r="BF87" s="140"/>
      <c r="BG87" s="140"/>
      <c r="BH87" s="140"/>
      <c r="BI87" s="140"/>
    </row>
    <row r="88" spans="1:61" x14ac:dyDescent="0.3">
      <c r="A88" s="193" t="s">
        <v>514</v>
      </c>
      <c r="B88" s="194">
        <v>0.25</v>
      </c>
      <c r="C88" s="194">
        <v>0</v>
      </c>
      <c r="D88" s="194">
        <v>2</v>
      </c>
      <c r="E88" s="194">
        <v>0.2</v>
      </c>
      <c r="F88" s="194">
        <v>0.5</v>
      </c>
      <c r="G88" s="194">
        <v>2</v>
      </c>
      <c r="H88" s="194">
        <v>0.4</v>
      </c>
      <c r="I88" s="194">
        <v>0</v>
      </c>
      <c r="J88" s="194">
        <v>1</v>
      </c>
      <c r="K88" s="194">
        <v>0.16700000000000001</v>
      </c>
      <c r="L88" s="194">
        <v>0.5</v>
      </c>
      <c r="M88" s="194">
        <v>2</v>
      </c>
      <c r="N88" s="194">
        <v>0.33300000000000002</v>
      </c>
      <c r="O88" s="194">
        <v>0</v>
      </c>
      <c r="P88" s="194">
        <v>3</v>
      </c>
      <c r="Q88" s="194">
        <v>0.16700000000000001</v>
      </c>
      <c r="R88" s="194">
        <v>1</v>
      </c>
      <c r="S88" s="194">
        <v>1</v>
      </c>
      <c r="T88" s="194">
        <v>0.5</v>
      </c>
      <c r="U88" s="194">
        <v>0</v>
      </c>
      <c r="V88" s="194">
        <v>2</v>
      </c>
      <c r="W88" s="194">
        <v>0.375</v>
      </c>
      <c r="X88" s="194">
        <v>1</v>
      </c>
      <c r="Y88" s="194">
        <v>1</v>
      </c>
      <c r="Z88" s="194">
        <v>0.308</v>
      </c>
      <c r="AA88" s="194">
        <v>0.4</v>
      </c>
      <c r="AB88" s="194">
        <v>5</v>
      </c>
      <c r="AC88" s="194">
        <v>0.41199999999999998</v>
      </c>
      <c r="AD88" s="194">
        <v>0.14299999999999999</v>
      </c>
      <c r="AE88" s="194">
        <v>7</v>
      </c>
      <c r="AF88" s="194">
        <v>0.29399999999999998</v>
      </c>
      <c r="AG88" s="194">
        <v>0.8</v>
      </c>
      <c r="AH88" s="194">
        <v>5</v>
      </c>
      <c r="AI88" s="194">
        <v>0.4</v>
      </c>
      <c r="AJ88" s="194">
        <v>0</v>
      </c>
      <c r="AK88" s="194">
        <v>5</v>
      </c>
      <c r="AL88" s="140"/>
      <c r="AM88" s="140"/>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row>
    <row r="89" spans="1:61" x14ac:dyDescent="0.3">
      <c r="A89" s="193" t="s">
        <v>496</v>
      </c>
      <c r="B89" s="194">
        <v>0.90100000000000002</v>
      </c>
      <c r="C89" s="194">
        <v>0.91900000000000004</v>
      </c>
      <c r="D89" s="194">
        <v>37</v>
      </c>
      <c r="E89" s="194">
        <v>0.89300000000000002</v>
      </c>
      <c r="F89" s="194">
        <v>0.88600000000000001</v>
      </c>
      <c r="G89" s="194">
        <v>44</v>
      </c>
      <c r="H89" s="194">
        <v>0.89400000000000002</v>
      </c>
      <c r="I89" s="194">
        <v>0.875</v>
      </c>
      <c r="J89" s="194">
        <v>40</v>
      </c>
      <c r="K89" s="194">
        <v>0.86199999999999999</v>
      </c>
      <c r="L89" s="194">
        <v>0.92300000000000004</v>
      </c>
      <c r="M89" s="194">
        <v>39</v>
      </c>
      <c r="N89" s="194">
        <v>0.82599999999999996</v>
      </c>
      <c r="O89" s="194">
        <v>0.76700000000000002</v>
      </c>
      <c r="P89" s="194">
        <v>30</v>
      </c>
      <c r="Q89" s="194">
        <v>0.82299999999999995</v>
      </c>
      <c r="R89" s="194">
        <v>0.77500000000000002</v>
      </c>
      <c r="S89" s="194">
        <v>40</v>
      </c>
      <c r="T89" s="194">
        <v>0.85299999999999998</v>
      </c>
      <c r="U89" s="194">
        <v>0.90700000000000003</v>
      </c>
      <c r="V89" s="194">
        <v>43</v>
      </c>
      <c r="W89" s="194">
        <v>0.90800000000000003</v>
      </c>
      <c r="X89" s="194">
        <v>0.879</v>
      </c>
      <c r="Y89" s="194">
        <v>33</v>
      </c>
      <c r="Z89" s="194">
        <v>0.86799999999999999</v>
      </c>
      <c r="AA89" s="194">
        <v>0.95499999999999996</v>
      </c>
      <c r="AB89" s="194">
        <v>22</v>
      </c>
      <c r="AC89" s="194">
        <v>0.79100000000000004</v>
      </c>
      <c r="AD89" s="194">
        <v>0.80600000000000005</v>
      </c>
      <c r="AE89" s="194">
        <v>36</v>
      </c>
      <c r="AF89" s="194">
        <v>0.73099999999999998</v>
      </c>
      <c r="AG89" s="194">
        <v>0.71199999999999997</v>
      </c>
      <c r="AH89" s="194">
        <v>52</v>
      </c>
      <c r="AI89" s="194">
        <v>0.70199999999999996</v>
      </c>
      <c r="AJ89" s="194">
        <v>0.69</v>
      </c>
      <c r="AK89" s="194">
        <v>42</v>
      </c>
      <c r="AL89" s="140"/>
      <c r="AM89" s="140"/>
      <c r="AN89" s="140"/>
      <c r="AO89" s="140"/>
      <c r="AP89" s="140"/>
      <c r="AQ89" s="140"/>
      <c r="AR89" s="140"/>
      <c r="AS89" s="140"/>
      <c r="AT89" s="140"/>
      <c r="AU89" s="140"/>
      <c r="AV89" s="140"/>
      <c r="AW89" s="140"/>
      <c r="AX89" s="140"/>
      <c r="AY89" s="140"/>
      <c r="AZ89" s="140"/>
      <c r="BA89" s="140"/>
      <c r="BB89" s="140"/>
      <c r="BC89" s="140"/>
      <c r="BD89" s="140"/>
      <c r="BE89" s="140"/>
      <c r="BF89" s="140"/>
      <c r="BG89" s="140"/>
      <c r="BH89" s="140"/>
      <c r="BI89" s="140"/>
    </row>
    <row r="90" spans="1:61" x14ac:dyDescent="0.3">
      <c r="A90" s="193" t="s">
        <v>359</v>
      </c>
      <c r="B90" s="194">
        <v>0.76900000000000002</v>
      </c>
      <c r="C90" s="194">
        <v>0.83299999999999996</v>
      </c>
      <c r="D90" s="194">
        <v>12</v>
      </c>
      <c r="E90" s="194">
        <v>0.74399999999999999</v>
      </c>
      <c r="F90" s="194">
        <v>0.71399999999999997</v>
      </c>
      <c r="G90" s="194">
        <v>14</v>
      </c>
      <c r="H90" s="194">
        <v>0.70799999999999996</v>
      </c>
      <c r="I90" s="194">
        <v>0.69199999999999995</v>
      </c>
      <c r="J90" s="194">
        <v>13</v>
      </c>
      <c r="K90" s="194">
        <v>0.78600000000000003</v>
      </c>
      <c r="L90" s="194">
        <v>0.71399999999999997</v>
      </c>
      <c r="M90" s="194">
        <v>21</v>
      </c>
      <c r="N90" s="194">
        <v>0.81699999999999995</v>
      </c>
      <c r="O90" s="194">
        <v>0.90900000000000003</v>
      </c>
      <c r="P90" s="194">
        <v>22</v>
      </c>
      <c r="Q90" s="194">
        <v>0.89200000000000002</v>
      </c>
      <c r="R90" s="194">
        <v>0.82099999999999995</v>
      </c>
      <c r="S90" s="194">
        <v>28</v>
      </c>
      <c r="T90" s="194">
        <v>0.90700000000000003</v>
      </c>
      <c r="U90" s="194">
        <v>1</v>
      </c>
      <c r="V90" s="194">
        <v>15</v>
      </c>
      <c r="W90" s="194">
        <v>0.90200000000000002</v>
      </c>
      <c r="X90" s="194">
        <v>1</v>
      </c>
      <c r="Y90" s="194">
        <v>11</v>
      </c>
      <c r="Z90" s="194">
        <v>0.82699999999999996</v>
      </c>
      <c r="AA90" s="194">
        <v>0.8</v>
      </c>
      <c r="AB90" s="194">
        <v>25</v>
      </c>
      <c r="AC90" s="194">
        <v>0.82599999999999996</v>
      </c>
      <c r="AD90" s="194">
        <v>0.75</v>
      </c>
      <c r="AE90" s="194">
        <v>16</v>
      </c>
      <c r="AF90" s="194">
        <v>0.75</v>
      </c>
      <c r="AG90" s="194">
        <v>0.89300000000000002</v>
      </c>
      <c r="AH90" s="194">
        <v>28</v>
      </c>
      <c r="AI90" s="194">
        <v>0.75</v>
      </c>
      <c r="AJ90" s="194">
        <v>0.55000000000000004</v>
      </c>
      <c r="AK90" s="194">
        <v>20</v>
      </c>
      <c r="AL90" s="140"/>
      <c r="AM90" s="140"/>
      <c r="AN90" s="140"/>
      <c r="AO90" s="140"/>
      <c r="AP90" s="140"/>
      <c r="AQ90" s="140"/>
      <c r="AR90" s="140"/>
      <c r="AS90" s="140"/>
      <c r="AT90" s="140"/>
      <c r="AU90" s="140"/>
      <c r="AV90" s="140"/>
      <c r="AW90" s="140"/>
      <c r="AX90" s="140"/>
      <c r="AY90" s="140"/>
      <c r="AZ90" s="140"/>
      <c r="BA90" s="140"/>
      <c r="BB90" s="140"/>
      <c r="BC90" s="140"/>
      <c r="BD90" s="140"/>
      <c r="BE90" s="140"/>
      <c r="BF90" s="140"/>
      <c r="BG90" s="140"/>
      <c r="BH90" s="140"/>
      <c r="BI90" s="140"/>
    </row>
    <row r="91" spans="1:61" x14ac:dyDescent="0.3">
      <c r="A91" s="193" t="s">
        <v>431</v>
      </c>
      <c r="B91" s="194">
        <v>0.58799999999999997</v>
      </c>
      <c r="C91" s="194">
        <v>0.33300000000000002</v>
      </c>
      <c r="D91" s="194">
        <v>6</v>
      </c>
      <c r="E91" s="194">
        <v>0.68799999999999994</v>
      </c>
      <c r="F91" s="194">
        <v>0.72699999999999998</v>
      </c>
      <c r="G91" s="194">
        <v>11</v>
      </c>
      <c r="H91" s="194">
        <v>0.73199999999999998</v>
      </c>
      <c r="I91" s="194">
        <v>0.8</v>
      </c>
      <c r="J91" s="194">
        <v>15</v>
      </c>
      <c r="K91" s="194">
        <v>0.78400000000000003</v>
      </c>
      <c r="L91" s="194">
        <v>0.66700000000000004</v>
      </c>
      <c r="M91" s="194">
        <v>15</v>
      </c>
      <c r="N91" s="194">
        <v>0.76200000000000001</v>
      </c>
      <c r="O91" s="194">
        <v>0.85699999999999998</v>
      </c>
      <c r="P91" s="194">
        <v>21</v>
      </c>
      <c r="Q91" s="194">
        <v>0.82399999999999995</v>
      </c>
      <c r="R91" s="194">
        <v>0.74099999999999999</v>
      </c>
      <c r="S91" s="194">
        <v>27</v>
      </c>
      <c r="T91" s="194">
        <v>0.84599999999999997</v>
      </c>
      <c r="U91" s="194">
        <v>0.9</v>
      </c>
      <c r="V91" s="194">
        <v>20</v>
      </c>
      <c r="W91" s="194">
        <v>0.83799999999999997</v>
      </c>
      <c r="X91" s="194">
        <v>0.94399999999999995</v>
      </c>
      <c r="Y91" s="194">
        <v>18</v>
      </c>
      <c r="Z91" s="194">
        <v>0.76400000000000001</v>
      </c>
      <c r="AA91" s="194">
        <v>0.73299999999999998</v>
      </c>
      <c r="AB91" s="194">
        <v>30</v>
      </c>
      <c r="AC91" s="194">
        <v>0.66700000000000004</v>
      </c>
      <c r="AD91" s="194">
        <v>0.66700000000000004</v>
      </c>
      <c r="AE91" s="194">
        <v>24</v>
      </c>
      <c r="AF91" s="194">
        <v>0.57699999999999996</v>
      </c>
      <c r="AG91" s="194">
        <v>0.55600000000000005</v>
      </c>
      <c r="AH91" s="194">
        <v>18</v>
      </c>
      <c r="AI91" s="194">
        <v>0.5</v>
      </c>
      <c r="AJ91" s="194">
        <v>0.4</v>
      </c>
      <c r="AK91" s="194">
        <v>10</v>
      </c>
      <c r="AL91" s="140"/>
      <c r="AM91" s="140"/>
      <c r="AN91" s="140"/>
      <c r="AO91" s="140"/>
      <c r="AP91" s="140"/>
      <c r="AQ91" s="140"/>
      <c r="AR91" s="140"/>
      <c r="AS91" s="140"/>
      <c r="AT91" s="140"/>
      <c r="AU91" s="140"/>
      <c r="AV91" s="140"/>
      <c r="AW91" s="140"/>
      <c r="AX91" s="140"/>
      <c r="AY91" s="140"/>
      <c r="AZ91" s="140"/>
      <c r="BA91" s="140"/>
      <c r="BB91" s="140"/>
      <c r="BC91" s="140"/>
      <c r="BD91" s="140"/>
      <c r="BE91" s="140"/>
      <c r="BF91" s="140"/>
      <c r="BG91" s="140"/>
      <c r="BH91" s="140"/>
      <c r="BI91" s="140"/>
    </row>
    <row r="92" spans="1:61" x14ac:dyDescent="0.3">
      <c r="A92" s="193" t="s">
        <v>526</v>
      </c>
      <c r="B92" s="194">
        <v>0.64400000000000002</v>
      </c>
      <c r="C92" s="194">
        <v>0.58299999999999996</v>
      </c>
      <c r="D92" s="194">
        <v>24</v>
      </c>
      <c r="E92" s="194">
        <v>0.75700000000000001</v>
      </c>
      <c r="F92" s="194">
        <v>0.71399999999999997</v>
      </c>
      <c r="G92" s="194">
        <v>21</v>
      </c>
      <c r="H92" s="194">
        <v>0.78600000000000003</v>
      </c>
      <c r="I92" s="194">
        <v>0.93100000000000005</v>
      </c>
      <c r="J92" s="194">
        <v>29</v>
      </c>
      <c r="K92" s="194">
        <v>0.82599999999999996</v>
      </c>
      <c r="L92" s="194">
        <v>0.70599999999999996</v>
      </c>
      <c r="M92" s="194">
        <v>34</v>
      </c>
      <c r="N92" s="194">
        <v>0.73699999999999999</v>
      </c>
      <c r="O92" s="194">
        <v>0.87</v>
      </c>
      <c r="P92" s="194">
        <v>23</v>
      </c>
      <c r="Q92" s="194">
        <v>0.72599999999999998</v>
      </c>
      <c r="R92" s="194">
        <v>0.63200000000000001</v>
      </c>
      <c r="S92" s="194">
        <v>19</v>
      </c>
      <c r="T92" s="194">
        <v>0.69099999999999995</v>
      </c>
      <c r="U92" s="194">
        <v>0.67700000000000005</v>
      </c>
      <c r="V92" s="194">
        <v>31</v>
      </c>
      <c r="W92" s="194">
        <v>0.753</v>
      </c>
      <c r="X92" s="194">
        <v>0.77800000000000002</v>
      </c>
      <c r="Y92" s="194">
        <v>18</v>
      </c>
      <c r="Z92" s="194">
        <v>0.77800000000000002</v>
      </c>
      <c r="AA92" s="194">
        <v>0.81299999999999994</v>
      </c>
      <c r="AB92" s="194">
        <v>32</v>
      </c>
      <c r="AC92" s="194">
        <v>0.71199999999999997</v>
      </c>
      <c r="AD92" s="194">
        <v>0.72699999999999998</v>
      </c>
      <c r="AE92" s="194">
        <v>22</v>
      </c>
      <c r="AF92" s="194">
        <v>0.67100000000000004</v>
      </c>
      <c r="AG92" s="194">
        <v>0.57699999999999996</v>
      </c>
      <c r="AH92" s="194">
        <v>26</v>
      </c>
      <c r="AI92" s="194">
        <v>0.64800000000000002</v>
      </c>
      <c r="AJ92" s="194">
        <v>0.71399999999999997</v>
      </c>
      <c r="AK92" s="194">
        <v>28</v>
      </c>
      <c r="AL92" s="140"/>
      <c r="AM92" s="140"/>
      <c r="AN92" s="140"/>
      <c r="AO92" s="140"/>
      <c r="AP92" s="140"/>
      <c r="AQ92" s="140"/>
      <c r="AR92" s="140"/>
      <c r="AS92" s="140"/>
      <c r="AT92" s="140"/>
      <c r="AU92" s="140"/>
      <c r="AV92" s="140"/>
      <c r="AW92" s="140"/>
      <c r="AX92" s="140"/>
      <c r="AY92" s="140"/>
      <c r="AZ92" s="140"/>
      <c r="BA92" s="140"/>
      <c r="BB92" s="140"/>
      <c r="BC92" s="140"/>
      <c r="BD92" s="140"/>
      <c r="BE92" s="140"/>
      <c r="BF92" s="140"/>
      <c r="BG92" s="140"/>
      <c r="BH92" s="140"/>
      <c r="BI92" s="140"/>
    </row>
    <row r="93" spans="1:61" x14ac:dyDescent="0.3">
      <c r="A93" s="193" t="s">
        <v>435</v>
      </c>
      <c r="B93" s="194">
        <v>0.745</v>
      </c>
      <c r="C93" s="194">
        <v>0.78600000000000003</v>
      </c>
      <c r="D93" s="194">
        <v>28</v>
      </c>
      <c r="E93" s="194">
        <v>0.79800000000000004</v>
      </c>
      <c r="F93" s="194">
        <v>0.70399999999999996</v>
      </c>
      <c r="G93" s="194">
        <v>27</v>
      </c>
      <c r="H93" s="194">
        <v>0.79300000000000004</v>
      </c>
      <c r="I93" s="194">
        <v>0.89700000000000002</v>
      </c>
      <c r="J93" s="194">
        <v>29</v>
      </c>
      <c r="K93" s="194">
        <v>0.67700000000000005</v>
      </c>
      <c r="L93" s="194">
        <v>0.76900000000000002</v>
      </c>
      <c r="M93" s="194">
        <v>26</v>
      </c>
      <c r="N93" s="194">
        <v>0.58799999999999997</v>
      </c>
      <c r="O93" s="194">
        <v>0.44700000000000001</v>
      </c>
      <c r="P93" s="194">
        <v>38</v>
      </c>
      <c r="Q93" s="194">
        <v>0.622</v>
      </c>
      <c r="R93" s="194">
        <v>0.60499999999999998</v>
      </c>
      <c r="S93" s="194">
        <v>38</v>
      </c>
      <c r="T93" s="194">
        <v>0.65700000000000003</v>
      </c>
      <c r="U93" s="194">
        <v>0.82899999999999996</v>
      </c>
      <c r="V93" s="194">
        <v>35</v>
      </c>
      <c r="W93" s="194">
        <v>0.64600000000000002</v>
      </c>
      <c r="X93" s="194">
        <v>0.53100000000000003</v>
      </c>
      <c r="Y93" s="194">
        <v>32</v>
      </c>
      <c r="Z93" s="194">
        <v>0.49</v>
      </c>
      <c r="AA93" s="194">
        <v>0.56299999999999994</v>
      </c>
      <c r="AB93" s="194">
        <v>32</v>
      </c>
      <c r="AC93" s="194">
        <v>0.44400000000000001</v>
      </c>
      <c r="AD93" s="194">
        <v>0.375</v>
      </c>
      <c r="AE93" s="194">
        <v>32</v>
      </c>
      <c r="AF93" s="194">
        <v>0.45500000000000002</v>
      </c>
      <c r="AG93" s="194">
        <v>0.4</v>
      </c>
      <c r="AH93" s="194">
        <v>35</v>
      </c>
      <c r="AI93" s="194">
        <v>0.49299999999999999</v>
      </c>
      <c r="AJ93" s="194">
        <v>0.59399999999999997</v>
      </c>
      <c r="AK93" s="194">
        <v>32</v>
      </c>
      <c r="AL93" s="140"/>
      <c r="AM93" s="140"/>
      <c r="AN93" s="140"/>
      <c r="AO93" s="140"/>
      <c r="AP93" s="140"/>
      <c r="AQ93" s="140"/>
      <c r="AR93" s="140"/>
      <c r="AS93" s="140"/>
      <c r="AT93" s="140"/>
      <c r="AU93" s="140"/>
      <c r="AV93" s="140"/>
      <c r="AW93" s="140"/>
      <c r="AX93" s="140"/>
      <c r="AY93" s="140"/>
      <c r="AZ93" s="140"/>
      <c r="BA93" s="140"/>
      <c r="BB93" s="140"/>
      <c r="BC93" s="140"/>
      <c r="BD93" s="140"/>
      <c r="BE93" s="140"/>
      <c r="BF93" s="140"/>
      <c r="BG93" s="140"/>
      <c r="BH93" s="140"/>
      <c r="BI93" s="140"/>
    </row>
    <row r="94" spans="1:61" x14ac:dyDescent="0.3">
      <c r="A94" s="193" t="s">
        <v>267</v>
      </c>
      <c r="B94" s="194">
        <v>0.95199999999999996</v>
      </c>
      <c r="C94" s="194">
        <v>0.90900000000000003</v>
      </c>
      <c r="D94" s="194">
        <v>11</v>
      </c>
      <c r="E94" s="194">
        <v>0.93899999999999995</v>
      </c>
      <c r="F94" s="194">
        <v>1</v>
      </c>
      <c r="G94" s="194">
        <v>10</v>
      </c>
      <c r="H94" s="194">
        <v>0.95499999999999996</v>
      </c>
      <c r="I94" s="194">
        <v>0.91700000000000004</v>
      </c>
      <c r="J94" s="194">
        <v>12</v>
      </c>
      <c r="K94" s="194">
        <v>0.875</v>
      </c>
      <c r="L94" s="194">
        <v>0.95499999999999996</v>
      </c>
      <c r="M94" s="194">
        <v>22</v>
      </c>
      <c r="N94" s="194">
        <v>0.86399999999999999</v>
      </c>
      <c r="O94" s="194">
        <v>0.77300000000000002</v>
      </c>
      <c r="P94" s="194">
        <v>22</v>
      </c>
      <c r="Q94" s="194">
        <v>0.83299999999999996</v>
      </c>
      <c r="R94" s="194">
        <v>0.86399999999999999</v>
      </c>
      <c r="S94" s="194">
        <v>22</v>
      </c>
      <c r="T94" s="194">
        <v>0.86</v>
      </c>
      <c r="U94" s="194">
        <v>0.9</v>
      </c>
      <c r="V94" s="194">
        <v>10</v>
      </c>
      <c r="W94" s="194">
        <v>0.875</v>
      </c>
      <c r="X94" s="194">
        <v>0.83299999999999996</v>
      </c>
      <c r="Y94" s="194">
        <v>18</v>
      </c>
      <c r="Z94" s="194">
        <v>0.86699999999999999</v>
      </c>
      <c r="AA94" s="194">
        <v>0.91700000000000004</v>
      </c>
      <c r="AB94" s="194">
        <v>12</v>
      </c>
      <c r="AC94" s="194">
        <v>0.86</v>
      </c>
      <c r="AD94" s="194">
        <v>0.86699999999999999</v>
      </c>
      <c r="AE94" s="194">
        <v>15</v>
      </c>
      <c r="AF94" s="194">
        <v>0.8</v>
      </c>
      <c r="AG94" s="194">
        <v>0.81299999999999994</v>
      </c>
      <c r="AH94" s="194">
        <v>16</v>
      </c>
      <c r="AI94" s="194">
        <v>0.77100000000000002</v>
      </c>
      <c r="AJ94" s="194">
        <v>0.73699999999999999</v>
      </c>
      <c r="AK94" s="194">
        <v>19</v>
      </c>
      <c r="AL94" s="140"/>
      <c r="AM94" s="140"/>
      <c r="AN94" s="140"/>
      <c r="AO94" s="140"/>
      <c r="AP94" s="140"/>
      <c r="AQ94" s="140"/>
      <c r="AR94" s="140"/>
      <c r="AS94" s="140"/>
      <c r="AT94" s="140"/>
      <c r="AU94" s="140"/>
      <c r="AV94" s="140"/>
      <c r="AW94" s="140"/>
      <c r="AX94" s="140"/>
      <c r="AY94" s="140"/>
      <c r="AZ94" s="140"/>
      <c r="BA94" s="140"/>
      <c r="BB94" s="140"/>
      <c r="BC94" s="140"/>
      <c r="BD94" s="140"/>
      <c r="BE94" s="140"/>
      <c r="BF94" s="140"/>
      <c r="BG94" s="140"/>
      <c r="BH94" s="140"/>
      <c r="BI94" s="140"/>
    </row>
    <row r="95" spans="1:61" x14ac:dyDescent="0.3">
      <c r="A95" s="193" t="s">
        <v>484</v>
      </c>
      <c r="B95" s="194">
        <v>0.89700000000000002</v>
      </c>
      <c r="C95" s="194">
        <v>0.90500000000000003</v>
      </c>
      <c r="D95" s="194">
        <v>21</v>
      </c>
      <c r="E95" s="194">
        <v>0.91500000000000004</v>
      </c>
      <c r="F95" s="194">
        <v>0.88900000000000001</v>
      </c>
      <c r="G95" s="194">
        <v>18</v>
      </c>
      <c r="H95" s="194">
        <v>0.93</v>
      </c>
      <c r="I95" s="194">
        <v>0.95</v>
      </c>
      <c r="J95" s="194">
        <v>20</v>
      </c>
      <c r="K95" s="194">
        <v>0.92500000000000004</v>
      </c>
      <c r="L95" s="194">
        <v>0.94699999999999995</v>
      </c>
      <c r="M95" s="194">
        <v>19</v>
      </c>
      <c r="N95" s="194">
        <v>0.89300000000000002</v>
      </c>
      <c r="O95" s="194">
        <v>0.89300000000000002</v>
      </c>
      <c r="P95" s="194">
        <v>28</v>
      </c>
      <c r="Q95" s="194">
        <v>0.91100000000000003</v>
      </c>
      <c r="R95" s="194">
        <v>0.85699999999999998</v>
      </c>
      <c r="S95" s="194">
        <v>28</v>
      </c>
      <c r="T95" s="194">
        <v>0.92200000000000004</v>
      </c>
      <c r="U95" s="194">
        <v>1</v>
      </c>
      <c r="V95" s="194">
        <v>23</v>
      </c>
      <c r="W95" s="194">
        <v>0.92900000000000005</v>
      </c>
      <c r="X95" s="194">
        <v>0.92300000000000004</v>
      </c>
      <c r="Y95" s="194">
        <v>13</v>
      </c>
      <c r="Z95" s="194">
        <v>0.88700000000000001</v>
      </c>
      <c r="AA95" s="194">
        <v>0.85</v>
      </c>
      <c r="AB95" s="194">
        <v>20</v>
      </c>
      <c r="AC95" s="194">
        <v>0.82899999999999996</v>
      </c>
      <c r="AD95" s="194">
        <v>0.9</v>
      </c>
      <c r="AE95" s="194">
        <v>20</v>
      </c>
      <c r="AF95" s="194">
        <v>0.83099999999999996</v>
      </c>
      <c r="AG95" s="194">
        <v>0.76700000000000002</v>
      </c>
      <c r="AH95" s="194">
        <v>30</v>
      </c>
      <c r="AI95" s="194">
        <v>0.80700000000000005</v>
      </c>
      <c r="AJ95" s="194">
        <v>0.85199999999999998</v>
      </c>
      <c r="AK95" s="194">
        <v>27</v>
      </c>
      <c r="AL95" s="140"/>
      <c r="AM95" s="140"/>
      <c r="AN95" s="140"/>
      <c r="AO95" s="140"/>
      <c r="AP95" s="140"/>
      <c r="AQ95" s="140"/>
      <c r="AR95" s="140"/>
      <c r="AS95" s="140"/>
      <c r="AT95" s="140"/>
      <c r="AU95" s="140"/>
      <c r="AV95" s="140"/>
      <c r="AW95" s="140"/>
      <c r="AX95" s="140"/>
      <c r="AY95" s="140"/>
      <c r="AZ95" s="140"/>
      <c r="BA95" s="140"/>
      <c r="BB95" s="140"/>
      <c r="BC95" s="140"/>
      <c r="BD95" s="140"/>
      <c r="BE95" s="140"/>
      <c r="BF95" s="140"/>
      <c r="BG95" s="140"/>
      <c r="BH95" s="140"/>
      <c r="BI95" s="140"/>
    </row>
    <row r="96" spans="1:61" x14ac:dyDescent="0.3">
      <c r="A96" s="193" t="s">
        <v>470</v>
      </c>
      <c r="B96" s="194">
        <v>0.64500000000000002</v>
      </c>
      <c r="C96" s="194">
        <v>0.66700000000000004</v>
      </c>
      <c r="D96" s="194">
        <v>12</v>
      </c>
      <c r="E96" s="194">
        <v>0.61699999999999999</v>
      </c>
      <c r="F96" s="194">
        <v>0.63200000000000001</v>
      </c>
      <c r="G96" s="194">
        <v>19</v>
      </c>
      <c r="H96" s="194">
        <v>0.57099999999999995</v>
      </c>
      <c r="I96" s="194">
        <v>0.56299999999999994</v>
      </c>
      <c r="J96" s="194">
        <v>16</v>
      </c>
      <c r="K96" s="194">
        <v>0.51</v>
      </c>
      <c r="L96" s="194">
        <v>0.5</v>
      </c>
      <c r="M96" s="194">
        <v>14</v>
      </c>
      <c r="N96" s="194">
        <v>0.47099999999999997</v>
      </c>
      <c r="O96" s="194">
        <v>0.47399999999999998</v>
      </c>
      <c r="P96" s="194">
        <v>19</v>
      </c>
      <c r="Q96" s="194">
        <v>0.57099999999999995</v>
      </c>
      <c r="R96" s="194">
        <v>0.44400000000000001</v>
      </c>
      <c r="S96" s="194">
        <v>18</v>
      </c>
      <c r="T96" s="194">
        <v>0.64800000000000002</v>
      </c>
      <c r="U96" s="194">
        <v>0.91700000000000004</v>
      </c>
      <c r="V96" s="194">
        <v>12</v>
      </c>
      <c r="W96" s="194">
        <v>0.67700000000000005</v>
      </c>
      <c r="X96" s="194">
        <v>0.66700000000000004</v>
      </c>
      <c r="Y96" s="194">
        <v>24</v>
      </c>
      <c r="Z96" s="194">
        <v>0.64300000000000002</v>
      </c>
      <c r="AA96" s="194">
        <v>0.57699999999999996</v>
      </c>
      <c r="AB96" s="194">
        <v>26</v>
      </c>
      <c r="AC96" s="194">
        <v>0.69499999999999995</v>
      </c>
      <c r="AD96" s="194">
        <v>0.7</v>
      </c>
      <c r="AE96" s="194">
        <v>20</v>
      </c>
      <c r="AF96" s="194">
        <v>0.69599999999999995</v>
      </c>
      <c r="AG96" s="194">
        <v>0.77800000000000002</v>
      </c>
      <c r="AH96" s="194">
        <v>36</v>
      </c>
      <c r="AI96" s="194">
        <v>0.69399999999999995</v>
      </c>
      <c r="AJ96" s="194">
        <v>0.61099999999999999</v>
      </c>
      <c r="AK96" s="194">
        <v>36</v>
      </c>
      <c r="AL96" s="140"/>
      <c r="AM96" s="140"/>
      <c r="AN96" s="140"/>
      <c r="AO96" s="140"/>
      <c r="AP96" s="140"/>
      <c r="AQ96" s="140"/>
      <c r="AR96" s="140"/>
      <c r="AS96" s="140"/>
      <c r="AT96" s="140"/>
      <c r="AU96" s="140"/>
      <c r="AV96" s="140"/>
      <c r="AW96" s="140"/>
      <c r="AX96" s="140"/>
      <c r="AY96" s="140"/>
      <c r="AZ96" s="140"/>
      <c r="BA96" s="140"/>
      <c r="BB96" s="140"/>
      <c r="BC96" s="140"/>
      <c r="BD96" s="140"/>
      <c r="BE96" s="140"/>
      <c r="BF96" s="140"/>
      <c r="BG96" s="140"/>
      <c r="BH96" s="140"/>
      <c r="BI96" s="140"/>
    </row>
    <row r="97" spans="1:61" x14ac:dyDescent="0.3">
      <c r="A97" s="193" t="s">
        <v>530</v>
      </c>
      <c r="B97" s="194">
        <v>0.83299999999999996</v>
      </c>
      <c r="C97" s="194">
        <v>0.72699999999999998</v>
      </c>
      <c r="D97" s="194">
        <v>11</v>
      </c>
      <c r="E97" s="194">
        <v>0.88200000000000001</v>
      </c>
      <c r="F97" s="194">
        <v>0.92300000000000004</v>
      </c>
      <c r="G97" s="194">
        <v>13</v>
      </c>
      <c r="H97" s="194">
        <v>0.96599999999999997</v>
      </c>
      <c r="I97" s="194">
        <v>1</v>
      </c>
      <c r="J97" s="194">
        <v>10</v>
      </c>
      <c r="K97" s="194">
        <v>0.95499999999999996</v>
      </c>
      <c r="L97" s="194">
        <v>1</v>
      </c>
      <c r="M97" s="194">
        <v>6</v>
      </c>
      <c r="N97" s="194">
        <v>0.82399999999999995</v>
      </c>
      <c r="O97" s="194">
        <v>0.83299999999999996</v>
      </c>
      <c r="P97" s="194">
        <v>6</v>
      </c>
      <c r="Q97" s="194">
        <v>0.81299999999999994</v>
      </c>
      <c r="R97" s="194">
        <v>0.6</v>
      </c>
      <c r="S97" s="194">
        <v>5</v>
      </c>
      <c r="T97" s="194">
        <v>0.81</v>
      </c>
      <c r="U97" s="194">
        <v>1</v>
      </c>
      <c r="V97" s="194">
        <v>5</v>
      </c>
      <c r="W97" s="194">
        <v>0.89700000000000002</v>
      </c>
      <c r="X97" s="194">
        <v>0.81799999999999995</v>
      </c>
      <c r="Y97" s="194">
        <v>11</v>
      </c>
      <c r="Z97" s="194">
        <v>0.85699999999999998</v>
      </c>
      <c r="AA97" s="194">
        <v>0.92300000000000004</v>
      </c>
      <c r="AB97" s="194">
        <v>13</v>
      </c>
      <c r="AC97" s="194">
        <v>0.92</v>
      </c>
      <c r="AD97" s="194">
        <v>0.75</v>
      </c>
      <c r="AE97" s="194">
        <v>4</v>
      </c>
      <c r="AF97" s="194">
        <v>0.85699999999999998</v>
      </c>
      <c r="AG97" s="194">
        <v>1</v>
      </c>
      <c r="AH97" s="194">
        <v>8</v>
      </c>
      <c r="AI97" s="194">
        <v>0.9</v>
      </c>
      <c r="AJ97" s="194">
        <v>0.5</v>
      </c>
      <c r="AK97" s="194">
        <v>2</v>
      </c>
      <c r="AL97" s="140"/>
      <c r="AM97" s="140"/>
      <c r="AN97" s="140"/>
      <c r="AO97" s="140"/>
      <c r="AP97" s="140"/>
      <c r="AQ97" s="140"/>
      <c r="AR97" s="140"/>
      <c r="AS97" s="140"/>
      <c r="AT97" s="140"/>
      <c r="AU97" s="140"/>
      <c r="AV97" s="140"/>
      <c r="AW97" s="140"/>
      <c r="AX97" s="140"/>
      <c r="AY97" s="140"/>
      <c r="AZ97" s="140"/>
      <c r="BA97" s="140"/>
      <c r="BB97" s="140"/>
      <c r="BC97" s="140"/>
      <c r="BD97" s="140"/>
      <c r="BE97" s="140"/>
      <c r="BF97" s="140"/>
      <c r="BG97" s="140"/>
      <c r="BH97" s="140"/>
      <c r="BI97" s="140"/>
    </row>
    <row r="98" spans="1:61" x14ac:dyDescent="0.3">
      <c r="A98" s="193" t="s">
        <v>416</v>
      </c>
      <c r="B98" s="194">
        <v>0.77400000000000002</v>
      </c>
      <c r="C98" s="194">
        <v>0.75</v>
      </c>
      <c r="D98" s="194">
        <v>40</v>
      </c>
      <c r="E98" s="194">
        <v>0.80700000000000005</v>
      </c>
      <c r="F98" s="194">
        <v>0.79200000000000004</v>
      </c>
      <c r="G98" s="194">
        <v>53</v>
      </c>
      <c r="H98" s="194">
        <v>0.82599999999999996</v>
      </c>
      <c r="I98" s="194">
        <v>0.85299999999999998</v>
      </c>
      <c r="J98" s="194">
        <v>68</v>
      </c>
      <c r="K98" s="194">
        <v>0.83499999999999996</v>
      </c>
      <c r="L98" s="194">
        <v>0.82599999999999996</v>
      </c>
      <c r="M98" s="194">
        <v>69</v>
      </c>
      <c r="N98" s="194">
        <v>0.84199999999999997</v>
      </c>
      <c r="O98" s="194">
        <v>0.82399999999999995</v>
      </c>
      <c r="P98" s="194">
        <v>51</v>
      </c>
      <c r="Q98" s="194">
        <v>0.86599999999999999</v>
      </c>
      <c r="R98" s="194">
        <v>0.875</v>
      </c>
      <c r="S98" s="194">
        <v>64</v>
      </c>
      <c r="T98" s="194">
        <v>0.86799999999999999</v>
      </c>
      <c r="U98" s="194">
        <v>0.89500000000000002</v>
      </c>
      <c r="V98" s="194">
        <v>57</v>
      </c>
      <c r="W98" s="194">
        <v>0.86</v>
      </c>
      <c r="X98" s="194">
        <v>0.83799999999999997</v>
      </c>
      <c r="Y98" s="194">
        <v>68</v>
      </c>
      <c r="Z98" s="194">
        <v>0.81799999999999995</v>
      </c>
      <c r="AA98" s="194">
        <v>0.85199999999999998</v>
      </c>
      <c r="AB98" s="194">
        <v>61</v>
      </c>
      <c r="AC98" s="194">
        <v>0.75800000000000001</v>
      </c>
      <c r="AD98" s="194">
        <v>0.77</v>
      </c>
      <c r="AE98" s="194">
        <v>74</v>
      </c>
      <c r="AF98" s="194">
        <v>0.751</v>
      </c>
      <c r="AG98" s="194">
        <v>0.66700000000000004</v>
      </c>
      <c r="AH98" s="194">
        <v>72</v>
      </c>
      <c r="AI98" s="194">
        <v>0.73899999999999999</v>
      </c>
      <c r="AJ98" s="194">
        <v>0.85099999999999998</v>
      </c>
      <c r="AK98" s="194">
        <v>47</v>
      </c>
      <c r="AL98" s="140"/>
      <c r="AM98" s="140"/>
      <c r="AN98" s="140"/>
      <c r="AO98" s="140"/>
      <c r="AP98" s="140"/>
      <c r="AQ98" s="140"/>
      <c r="AR98" s="140"/>
      <c r="AS98" s="140"/>
      <c r="AT98" s="140"/>
      <c r="AU98" s="140"/>
      <c r="AV98" s="140"/>
      <c r="AW98" s="140"/>
      <c r="AX98" s="140"/>
      <c r="AY98" s="140"/>
      <c r="AZ98" s="140"/>
      <c r="BA98" s="140"/>
      <c r="BB98" s="140"/>
      <c r="BC98" s="140"/>
      <c r="BD98" s="140"/>
      <c r="BE98" s="140"/>
      <c r="BF98" s="140"/>
      <c r="BG98" s="140"/>
      <c r="BH98" s="140"/>
      <c r="BI98" s="140"/>
    </row>
    <row r="99" spans="1:61" x14ac:dyDescent="0.3">
      <c r="A99" s="193" t="s">
        <v>350</v>
      </c>
      <c r="B99" s="194">
        <v>0.84199999999999997</v>
      </c>
      <c r="C99" s="194">
        <v>0.8</v>
      </c>
      <c r="D99" s="194">
        <v>5</v>
      </c>
      <c r="E99" s="194">
        <v>0.80600000000000005</v>
      </c>
      <c r="F99" s="194">
        <v>0.85699999999999998</v>
      </c>
      <c r="G99" s="194">
        <v>14</v>
      </c>
      <c r="H99" s="194">
        <v>0.80600000000000005</v>
      </c>
      <c r="I99" s="194">
        <v>0.75</v>
      </c>
      <c r="J99" s="194">
        <v>12</v>
      </c>
      <c r="K99" s="194">
        <v>0.79200000000000004</v>
      </c>
      <c r="L99" s="194">
        <v>0.8</v>
      </c>
      <c r="M99" s="194">
        <v>5</v>
      </c>
      <c r="N99" s="194">
        <v>0.82399999999999995</v>
      </c>
      <c r="O99" s="194">
        <v>0.85699999999999998</v>
      </c>
      <c r="P99" s="194">
        <v>7</v>
      </c>
      <c r="Q99" s="194">
        <v>0.64700000000000002</v>
      </c>
      <c r="R99" s="194">
        <v>0.8</v>
      </c>
      <c r="S99" s="194">
        <v>5</v>
      </c>
      <c r="T99" s="194">
        <v>0.58799999999999997</v>
      </c>
      <c r="U99" s="194">
        <v>0.2</v>
      </c>
      <c r="V99" s="194">
        <v>5</v>
      </c>
      <c r="W99" s="194">
        <v>0.68400000000000005</v>
      </c>
      <c r="X99" s="194">
        <v>0.71399999999999997</v>
      </c>
      <c r="Y99" s="194">
        <v>7</v>
      </c>
      <c r="Z99" s="194">
        <v>0.77400000000000002</v>
      </c>
      <c r="AA99" s="194">
        <v>1</v>
      </c>
      <c r="AB99" s="194">
        <v>7</v>
      </c>
      <c r="AC99" s="194">
        <v>0.83899999999999997</v>
      </c>
      <c r="AD99" s="194">
        <v>0.70599999999999996</v>
      </c>
      <c r="AE99" s="194">
        <v>17</v>
      </c>
      <c r="AF99" s="194">
        <v>0.79400000000000004</v>
      </c>
      <c r="AG99" s="194">
        <v>1</v>
      </c>
      <c r="AH99" s="194">
        <v>7</v>
      </c>
      <c r="AI99" s="194">
        <v>0.88200000000000001</v>
      </c>
      <c r="AJ99" s="194">
        <v>0.8</v>
      </c>
      <c r="AK99" s="194">
        <v>10</v>
      </c>
      <c r="AL99" s="140"/>
      <c r="AM99" s="140"/>
      <c r="AN99" s="140"/>
      <c r="AO99" s="140"/>
      <c r="AP99" s="140"/>
      <c r="AQ99" s="140"/>
      <c r="AR99" s="140"/>
      <c r="AS99" s="140"/>
      <c r="AT99" s="140"/>
      <c r="AU99" s="140"/>
      <c r="AV99" s="140"/>
      <c r="AW99" s="140"/>
      <c r="AX99" s="140"/>
      <c r="AY99" s="140"/>
      <c r="AZ99" s="140"/>
      <c r="BA99" s="140"/>
      <c r="BB99" s="140"/>
      <c r="BC99" s="140"/>
      <c r="BD99" s="140"/>
      <c r="BE99" s="140"/>
      <c r="BF99" s="140"/>
      <c r="BG99" s="140"/>
      <c r="BH99" s="140"/>
      <c r="BI99" s="140"/>
    </row>
    <row r="100" spans="1:61" x14ac:dyDescent="0.3">
      <c r="A100" s="193" t="s">
        <v>341</v>
      </c>
      <c r="B100" s="194">
        <v>0.122</v>
      </c>
      <c r="C100" s="194">
        <v>0.158</v>
      </c>
      <c r="D100" s="194">
        <v>38</v>
      </c>
      <c r="E100" s="194">
        <v>0.14699999999999999</v>
      </c>
      <c r="F100" s="194">
        <v>8.3000000000000004E-2</v>
      </c>
      <c r="G100" s="194">
        <v>36</v>
      </c>
      <c r="H100" s="194">
        <v>0.31</v>
      </c>
      <c r="I100" s="194">
        <v>0.214</v>
      </c>
      <c r="J100" s="194">
        <v>28</v>
      </c>
      <c r="K100" s="194">
        <v>0.54800000000000004</v>
      </c>
      <c r="L100" s="194">
        <v>0.78300000000000003</v>
      </c>
      <c r="M100" s="194">
        <v>23</v>
      </c>
      <c r="N100" s="194">
        <v>0.74099999999999999</v>
      </c>
      <c r="O100" s="194">
        <v>0.66700000000000004</v>
      </c>
      <c r="P100" s="194">
        <v>33</v>
      </c>
      <c r="Q100" s="194">
        <v>0.79400000000000004</v>
      </c>
      <c r="R100" s="194">
        <v>0.79300000000000004</v>
      </c>
      <c r="S100" s="194">
        <v>29</v>
      </c>
      <c r="T100" s="194">
        <v>0.84</v>
      </c>
      <c r="U100" s="194">
        <v>0.91400000000000003</v>
      </c>
      <c r="V100" s="194">
        <v>35</v>
      </c>
      <c r="W100" s="194">
        <v>0.86099999999999999</v>
      </c>
      <c r="X100" s="194">
        <v>0.8</v>
      </c>
      <c r="Y100" s="194">
        <v>30</v>
      </c>
      <c r="Z100" s="194">
        <v>0.83299999999999996</v>
      </c>
      <c r="AA100" s="194">
        <v>0.86099999999999999</v>
      </c>
      <c r="AB100" s="194">
        <v>36</v>
      </c>
      <c r="AC100" s="194">
        <v>0.81499999999999995</v>
      </c>
      <c r="AD100" s="194">
        <v>0.83299999999999996</v>
      </c>
      <c r="AE100" s="194">
        <v>36</v>
      </c>
      <c r="AF100" s="194">
        <v>0.76</v>
      </c>
      <c r="AG100" s="194">
        <v>0.76600000000000001</v>
      </c>
      <c r="AH100" s="194">
        <v>47</v>
      </c>
      <c r="AI100" s="194">
        <v>0.73099999999999998</v>
      </c>
      <c r="AJ100" s="194">
        <v>0.69599999999999995</v>
      </c>
      <c r="AK100" s="194">
        <v>46</v>
      </c>
      <c r="AL100" s="140"/>
      <c r="AM100" s="140"/>
      <c r="AN100" s="140"/>
      <c r="AO100" s="140"/>
      <c r="AP100" s="140"/>
      <c r="AQ100" s="140"/>
      <c r="AR100" s="140"/>
      <c r="AS100" s="140"/>
      <c r="AT100" s="140"/>
      <c r="AU100" s="140"/>
      <c r="AV100" s="140"/>
      <c r="AW100" s="140"/>
      <c r="AX100" s="140"/>
      <c r="AY100" s="140"/>
      <c r="AZ100" s="140"/>
      <c r="BA100" s="140"/>
      <c r="BB100" s="140"/>
      <c r="BC100" s="140"/>
      <c r="BD100" s="140"/>
      <c r="BE100" s="140"/>
      <c r="BF100" s="140"/>
      <c r="BG100" s="140"/>
      <c r="BH100" s="140"/>
      <c r="BI100" s="140"/>
    </row>
    <row r="101" spans="1:61" x14ac:dyDescent="0.3">
      <c r="A101" s="193" t="s">
        <v>423</v>
      </c>
      <c r="B101" s="194">
        <v>0.88</v>
      </c>
      <c r="C101" s="194">
        <v>0.8</v>
      </c>
      <c r="D101" s="194">
        <v>15</v>
      </c>
      <c r="E101" s="194">
        <v>0.89200000000000002</v>
      </c>
      <c r="F101" s="194">
        <v>1</v>
      </c>
      <c r="G101" s="194">
        <v>10</v>
      </c>
      <c r="H101" s="194">
        <v>0.84799999999999998</v>
      </c>
      <c r="I101" s="194">
        <v>0.91700000000000004</v>
      </c>
      <c r="J101" s="194">
        <v>12</v>
      </c>
      <c r="K101" s="194">
        <v>0.82399999999999995</v>
      </c>
      <c r="L101" s="194">
        <v>0.63600000000000001</v>
      </c>
      <c r="M101" s="194">
        <v>11</v>
      </c>
      <c r="N101" s="194">
        <v>0.85299999999999998</v>
      </c>
      <c r="O101" s="194">
        <v>0.90900000000000003</v>
      </c>
      <c r="P101" s="194">
        <v>11</v>
      </c>
      <c r="Q101" s="194">
        <v>0.84399999999999997</v>
      </c>
      <c r="R101" s="194">
        <v>1</v>
      </c>
      <c r="S101" s="194">
        <v>12</v>
      </c>
      <c r="T101" s="194">
        <v>0.8</v>
      </c>
      <c r="U101" s="194">
        <v>0.72699999999999998</v>
      </c>
      <c r="V101" s="194">
        <v>22</v>
      </c>
      <c r="W101" s="194">
        <v>0.66700000000000004</v>
      </c>
      <c r="X101" s="194">
        <v>0.72699999999999998</v>
      </c>
      <c r="Y101" s="194">
        <v>11</v>
      </c>
      <c r="Z101" s="194">
        <v>0.61799999999999999</v>
      </c>
      <c r="AA101" s="194">
        <v>0.55600000000000005</v>
      </c>
      <c r="AB101" s="194">
        <v>18</v>
      </c>
      <c r="AC101" s="194">
        <v>0.6</v>
      </c>
      <c r="AD101" s="194">
        <v>0.61499999999999999</v>
      </c>
      <c r="AE101" s="194">
        <v>26</v>
      </c>
      <c r="AF101" s="194">
        <v>0.6</v>
      </c>
      <c r="AG101" s="194">
        <v>0.61899999999999999</v>
      </c>
      <c r="AH101" s="194">
        <v>21</v>
      </c>
      <c r="AI101" s="194">
        <v>0.59</v>
      </c>
      <c r="AJ101" s="194">
        <v>0.55600000000000005</v>
      </c>
      <c r="AK101" s="194">
        <v>18</v>
      </c>
      <c r="AL101" s="140"/>
      <c r="AM101" s="140"/>
      <c r="AN101" s="140"/>
      <c r="AO101" s="140"/>
      <c r="AP101" s="140"/>
      <c r="AQ101" s="140"/>
      <c r="AR101" s="140"/>
      <c r="AS101" s="140"/>
      <c r="AT101" s="140"/>
      <c r="AU101" s="140"/>
      <c r="AV101" s="140"/>
      <c r="AW101" s="140"/>
      <c r="AX101" s="140"/>
      <c r="AY101" s="140"/>
      <c r="AZ101" s="140"/>
      <c r="BA101" s="140"/>
      <c r="BB101" s="140"/>
      <c r="BC101" s="140"/>
      <c r="BD101" s="140"/>
      <c r="BE101" s="140"/>
      <c r="BF101" s="140"/>
      <c r="BG101" s="140"/>
      <c r="BH101" s="140"/>
      <c r="BI101" s="140"/>
    </row>
    <row r="102" spans="1:61" x14ac:dyDescent="0.3">
      <c r="A102" s="193" t="s">
        <v>374</v>
      </c>
      <c r="B102" s="194">
        <v>0.85699999999999998</v>
      </c>
      <c r="C102" s="194">
        <v>0.89300000000000002</v>
      </c>
      <c r="D102" s="194">
        <v>28</v>
      </c>
      <c r="E102" s="194">
        <v>0.85499999999999998</v>
      </c>
      <c r="F102" s="194">
        <v>0.81</v>
      </c>
      <c r="G102" s="194">
        <v>21</v>
      </c>
      <c r="H102" s="194">
        <v>0.871</v>
      </c>
      <c r="I102" s="194">
        <v>0.85</v>
      </c>
      <c r="J102" s="194">
        <v>20</v>
      </c>
      <c r="K102" s="194">
        <v>0.89900000000000002</v>
      </c>
      <c r="L102" s="194">
        <v>0.93100000000000005</v>
      </c>
      <c r="M102" s="194">
        <v>29</v>
      </c>
      <c r="N102" s="194">
        <v>0.92300000000000004</v>
      </c>
      <c r="O102" s="194">
        <v>0.9</v>
      </c>
      <c r="P102" s="194">
        <v>20</v>
      </c>
      <c r="Q102" s="194">
        <v>0.94799999999999995</v>
      </c>
      <c r="R102" s="194">
        <v>0.93100000000000005</v>
      </c>
      <c r="S102" s="194">
        <v>29</v>
      </c>
      <c r="T102" s="194">
        <v>0.93899999999999995</v>
      </c>
      <c r="U102" s="194">
        <v>1</v>
      </c>
      <c r="V102" s="194">
        <v>28</v>
      </c>
      <c r="W102" s="194">
        <v>0.90900000000000003</v>
      </c>
      <c r="X102" s="194">
        <v>0.88</v>
      </c>
      <c r="Y102" s="194">
        <v>25</v>
      </c>
      <c r="Z102" s="194">
        <v>0.77800000000000002</v>
      </c>
      <c r="AA102" s="194">
        <v>0.83299999999999996</v>
      </c>
      <c r="AB102" s="194">
        <v>24</v>
      </c>
      <c r="AC102" s="194">
        <v>0.67500000000000004</v>
      </c>
      <c r="AD102" s="194">
        <v>0.60899999999999999</v>
      </c>
      <c r="AE102" s="194">
        <v>23</v>
      </c>
      <c r="AF102" s="194">
        <v>0.59199999999999997</v>
      </c>
      <c r="AG102" s="194">
        <v>0.61099999999999999</v>
      </c>
      <c r="AH102" s="194">
        <v>36</v>
      </c>
      <c r="AI102" s="194">
        <v>0.58699999999999997</v>
      </c>
      <c r="AJ102" s="194">
        <v>0.56399999999999995</v>
      </c>
      <c r="AK102" s="194">
        <v>39</v>
      </c>
      <c r="AL102" s="140"/>
      <c r="AM102" s="140"/>
      <c r="AN102" s="140"/>
      <c r="AO102" s="140"/>
      <c r="AP102" s="140"/>
      <c r="AQ102" s="140"/>
      <c r="AR102" s="140"/>
      <c r="AS102" s="140"/>
      <c r="AT102" s="140"/>
      <c r="AU102" s="140"/>
      <c r="AV102" s="140"/>
      <c r="AW102" s="140"/>
      <c r="AX102" s="140"/>
      <c r="AY102" s="140"/>
      <c r="AZ102" s="140"/>
      <c r="BA102" s="140"/>
      <c r="BB102" s="140"/>
      <c r="BC102" s="140"/>
      <c r="BD102" s="140"/>
      <c r="BE102" s="140"/>
      <c r="BF102" s="140"/>
      <c r="BG102" s="140"/>
      <c r="BH102" s="140"/>
      <c r="BI102" s="140"/>
    </row>
    <row r="103" spans="1:61" x14ac:dyDescent="0.3">
      <c r="A103" s="193" t="s">
        <v>512</v>
      </c>
      <c r="B103" s="194">
        <v>0.78</v>
      </c>
      <c r="C103" s="194">
        <v>0.88500000000000001</v>
      </c>
      <c r="D103" s="194">
        <v>26</v>
      </c>
      <c r="E103" s="194">
        <v>0.84199999999999997</v>
      </c>
      <c r="F103" s="194">
        <v>0.6</v>
      </c>
      <c r="G103" s="194">
        <v>15</v>
      </c>
      <c r="H103" s="194">
        <v>0.86699999999999999</v>
      </c>
      <c r="I103" s="194">
        <v>1</v>
      </c>
      <c r="J103" s="194">
        <v>16</v>
      </c>
      <c r="K103" s="194">
        <v>0.91200000000000003</v>
      </c>
      <c r="L103" s="194">
        <v>0.93100000000000005</v>
      </c>
      <c r="M103" s="194">
        <v>29</v>
      </c>
      <c r="N103" s="194">
        <v>0.92100000000000004</v>
      </c>
      <c r="O103" s="194">
        <v>0.82599999999999996</v>
      </c>
      <c r="P103" s="194">
        <v>23</v>
      </c>
      <c r="Q103" s="194">
        <v>0.91800000000000004</v>
      </c>
      <c r="R103" s="194">
        <v>0.97299999999999998</v>
      </c>
      <c r="S103" s="194">
        <v>37</v>
      </c>
      <c r="T103" s="194">
        <v>0.94699999999999995</v>
      </c>
      <c r="U103" s="194">
        <v>0.92</v>
      </c>
      <c r="V103" s="194">
        <v>25</v>
      </c>
      <c r="W103" s="194">
        <v>0.88100000000000001</v>
      </c>
      <c r="X103" s="194">
        <v>0.93899999999999995</v>
      </c>
      <c r="Y103" s="194">
        <v>33</v>
      </c>
      <c r="Z103" s="194">
        <v>0.80200000000000005</v>
      </c>
      <c r="AA103" s="194">
        <v>0.76900000000000002</v>
      </c>
      <c r="AB103" s="194">
        <v>26</v>
      </c>
      <c r="AC103" s="194">
        <v>0.73599999999999999</v>
      </c>
      <c r="AD103" s="194">
        <v>0.66700000000000004</v>
      </c>
      <c r="AE103" s="194">
        <v>27</v>
      </c>
      <c r="AF103" s="194">
        <v>0.66700000000000004</v>
      </c>
      <c r="AG103" s="194">
        <v>0.78900000000000003</v>
      </c>
      <c r="AH103" s="194">
        <v>19</v>
      </c>
      <c r="AI103" s="194">
        <v>0.66700000000000004</v>
      </c>
      <c r="AJ103" s="194">
        <v>0.59399999999999997</v>
      </c>
      <c r="AK103" s="194">
        <v>32</v>
      </c>
      <c r="AL103" s="140"/>
      <c r="AM103" s="140"/>
      <c r="AN103" s="140"/>
      <c r="AO103" s="140"/>
      <c r="AP103" s="140"/>
      <c r="AQ103" s="140"/>
      <c r="AR103" s="140"/>
      <c r="AS103" s="140"/>
      <c r="AT103" s="140"/>
      <c r="AU103" s="140"/>
      <c r="AV103" s="140"/>
      <c r="AW103" s="140"/>
      <c r="AX103" s="140"/>
      <c r="AY103" s="140"/>
      <c r="AZ103" s="140"/>
      <c r="BA103" s="140"/>
      <c r="BB103" s="140"/>
      <c r="BC103" s="140"/>
      <c r="BD103" s="140"/>
      <c r="BE103" s="140"/>
      <c r="BF103" s="140"/>
      <c r="BG103" s="140"/>
      <c r="BH103" s="140"/>
      <c r="BI103" s="140"/>
    </row>
    <row r="104" spans="1:61" x14ac:dyDescent="0.3">
      <c r="A104" s="193" t="s">
        <v>528</v>
      </c>
      <c r="B104" s="194">
        <v>0.78</v>
      </c>
      <c r="C104" s="194">
        <v>0.84399999999999997</v>
      </c>
      <c r="D104" s="194">
        <v>32</v>
      </c>
      <c r="E104" s="194">
        <v>0.77</v>
      </c>
      <c r="F104" s="194">
        <v>0.66700000000000004</v>
      </c>
      <c r="G104" s="194">
        <v>18</v>
      </c>
      <c r="H104" s="194">
        <v>0.70599999999999996</v>
      </c>
      <c r="I104" s="194">
        <v>0.75</v>
      </c>
      <c r="J104" s="194">
        <v>24</v>
      </c>
      <c r="K104" s="194">
        <v>0.75</v>
      </c>
      <c r="L104" s="194">
        <v>0.69199999999999995</v>
      </c>
      <c r="M104" s="194">
        <v>26</v>
      </c>
      <c r="N104" s="194">
        <v>0.80800000000000005</v>
      </c>
      <c r="O104" s="194">
        <v>0.80800000000000005</v>
      </c>
      <c r="P104" s="194">
        <v>26</v>
      </c>
      <c r="Q104" s="194">
        <v>0.875</v>
      </c>
      <c r="R104" s="194">
        <v>0.92300000000000004</v>
      </c>
      <c r="S104" s="194">
        <v>26</v>
      </c>
      <c r="T104" s="194">
        <v>0.90100000000000002</v>
      </c>
      <c r="U104" s="194">
        <v>0.89300000000000002</v>
      </c>
      <c r="V104" s="194">
        <v>28</v>
      </c>
      <c r="W104" s="194">
        <v>0.89500000000000002</v>
      </c>
      <c r="X104" s="194">
        <v>0.89200000000000002</v>
      </c>
      <c r="Y104" s="194">
        <v>37</v>
      </c>
      <c r="Z104" s="194">
        <v>0.84799999999999998</v>
      </c>
      <c r="AA104" s="194">
        <v>0.9</v>
      </c>
      <c r="AB104" s="194">
        <v>30</v>
      </c>
      <c r="AC104" s="194">
        <v>0.83599999999999997</v>
      </c>
      <c r="AD104" s="194">
        <v>0.76300000000000001</v>
      </c>
      <c r="AE104" s="194">
        <v>38</v>
      </c>
      <c r="AF104" s="194">
        <v>0.81499999999999995</v>
      </c>
      <c r="AG104" s="194">
        <v>0.85699999999999998</v>
      </c>
      <c r="AH104" s="194">
        <v>42</v>
      </c>
      <c r="AI104" s="194">
        <v>0.83699999999999997</v>
      </c>
      <c r="AJ104" s="194">
        <v>0.82</v>
      </c>
      <c r="AK104" s="194">
        <v>50</v>
      </c>
      <c r="AL104" s="140"/>
      <c r="AM104" s="140"/>
      <c r="AN104" s="140"/>
      <c r="AO104" s="140"/>
      <c r="AP104" s="140"/>
      <c r="AQ104" s="140"/>
      <c r="AR104" s="140"/>
      <c r="AS104" s="140"/>
      <c r="AT104" s="140"/>
      <c r="AU104" s="140"/>
      <c r="AV104" s="140"/>
      <c r="AW104" s="140"/>
      <c r="AX104" s="140"/>
      <c r="AY104" s="140"/>
      <c r="AZ104" s="140"/>
      <c r="BA104" s="140"/>
      <c r="BB104" s="140"/>
      <c r="BC104" s="140"/>
      <c r="BD104" s="140"/>
      <c r="BE104" s="140"/>
      <c r="BF104" s="140"/>
      <c r="BG104" s="140"/>
      <c r="BH104" s="140"/>
      <c r="BI104" s="140"/>
    </row>
    <row r="105" spans="1:61" x14ac:dyDescent="0.3">
      <c r="A105" s="193" t="s">
        <v>400</v>
      </c>
      <c r="B105" s="194">
        <v>0.25</v>
      </c>
      <c r="C105" s="194">
        <v>0.25</v>
      </c>
      <c r="D105" s="194">
        <v>16</v>
      </c>
      <c r="E105" s="194">
        <v>0.25600000000000001</v>
      </c>
      <c r="F105" s="194">
        <v>0.25</v>
      </c>
      <c r="G105" s="194">
        <v>12</v>
      </c>
      <c r="H105" s="194">
        <v>0.35099999999999998</v>
      </c>
      <c r="I105" s="194">
        <v>0.26700000000000002</v>
      </c>
      <c r="J105" s="194">
        <v>15</v>
      </c>
      <c r="K105" s="194">
        <v>0.57399999999999995</v>
      </c>
      <c r="L105" s="194">
        <v>0.6</v>
      </c>
      <c r="M105" s="194">
        <v>10</v>
      </c>
      <c r="N105" s="194">
        <v>0.76600000000000001</v>
      </c>
      <c r="O105" s="194">
        <v>0.77300000000000002</v>
      </c>
      <c r="P105" s="194">
        <v>22</v>
      </c>
      <c r="Q105" s="194">
        <v>0.79500000000000004</v>
      </c>
      <c r="R105" s="194">
        <v>0.86699999999999999</v>
      </c>
      <c r="S105" s="194">
        <v>15</v>
      </c>
      <c r="T105" s="194">
        <v>0.78600000000000003</v>
      </c>
      <c r="U105" s="194">
        <v>0.71399999999999997</v>
      </c>
      <c r="V105" s="194">
        <v>7</v>
      </c>
      <c r="W105" s="194">
        <v>0.67400000000000004</v>
      </c>
      <c r="X105" s="194">
        <v>0.75</v>
      </c>
      <c r="Y105" s="194">
        <v>20</v>
      </c>
      <c r="Z105" s="194">
        <v>0.64300000000000002</v>
      </c>
      <c r="AA105" s="194">
        <v>0.56299999999999994</v>
      </c>
      <c r="AB105" s="194">
        <v>16</v>
      </c>
      <c r="AC105" s="194">
        <v>0.625</v>
      </c>
      <c r="AD105" s="194">
        <v>0.6</v>
      </c>
      <c r="AE105" s="194">
        <v>20</v>
      </c>
      <c r="AF105" s="194">
        <v>0.69</v>
      </c>
      <c r="AG105" s="194">
        <v>0.7</v>
      </c>
      <c r="AH105" s="194">
        <v>20</v>
      </c>
      <c r="AI105" s="194">
        <v>0.73699999999999999</v>
      </c>
      <c r="AJ105" s="194">
        <v>0.77800000000000002</v>
      </c>
      <c r="AK105" s="194">
        <v>18</v>
      </c>
      <c r="AL105" s="140"/>
      <c r="AM105" s="140"/>
      <c r="AN105" s="140"/>
      <c r="AO105" s="140"/>
      <c r="AP105" s="140"/>
      <c r="AQ105" s="140"/>
      <c r="AR105" s="140"/>
      <c r="AS105" s="140"/>
      <c r="AT105" s="140"/>
      <c r="AU105" s="140"/>
      <c r="AV105" s="140"/>
      <c r="AW105" s="140"/>
      <c r="AX105" s="140"/>
      <c r="AY105" s="140"/>
      <c r="AZ105" s="140"/>
      <c r="BA105" s="140"/>
      <c r="BB105" s="140"/>
      <c r="BC105" s="140"/>
      <c r="BD105" s="140"/>
      <c r="BE105" s="140"/>
      <c r="BF105" s="140"/>
      <c r="BG105" s="140"/>
      <c r="BH105" s="140"/>
      <c r="BI105" s="140"/>
    </row>
    <row r="106" spans="1:61" x14ac:dyDescent="0.3">
      <c r="A106" s="193" t="s">
        <v>540</v>
      </c>
      <c r="B106" s="194">
        <v>0.91400000000000003</v>
      </c>
      <c r="C106" s="194">
        <v>1</v>
      </c>
      <c r="D106" s="194">
        <v>20</v>
      </c>
      <c r="E106" s="194">
        <v>0.93300000000000005</v>
      </c>
      <c r="F106" s="194">
        <v>0.8</v>
      </c>
      <c r="G106" s="194">
        <v>15</v>
      </c>
      <c r="H106" s="194">
        <v>0.91900000000000004</v>
      </c>
      <c r="I106" s="194">
        <v>1</v>
      </c>
      <c r="J106" s="194">
        <v>10</v>
      </c>
      <c r="K106" s="194">
        <v>0.94099999999999995</v>
      </c>
      <c r="L106" s="194">
        <v>1</v>
      </c>
      <c r="M106" s="194">
        <v>12</v>
      </c>
      <c r="N106" s="194">
        <v>0.94299999999999995</v>
      </c>
      <c r="O106" s="194">
        <v>0.83299999999999996</v>
      </c>
      <c r="P106" s="194">
        <v>12</v>
      </c>
      <c r="Q106" s="194">
        <v>0.90600000000000003</v>
      </c>
      <c r="R106" s="194">
        <v>1</v>
      </c>
      <c r="S106" s="194">
        <v>11</v>
      </c>
      <c r="T106" s="194">
        <v>0.90300000000000002</v>
      </c>
      <c r="U106" s="194">
        <v>0.88900000000000001</v>
      </c>
      <c r="V106" s="194">
        <v>9</v>
      </c>
      <c r="W106" s="194">
        <v>0.77100000000000002</v>
      </c>
      <c r="X106" s="194">
        <v>0.81799999999999995</v>
      </c>
      <c r="Y106" s="194">
        <v>11</v>
      </c>
      <c r="Z106" s="194">
        <v>0.83299999999999996</v>
      </c>
      <c r="AA106" s="194">
        <v>0.66700000000000004</v>
      </c>
      <c r="AB106" s="194">
        <v>15</v>
      </c>
      <c r="AC106" s="194">
        <v>0.81599999999999995</v>
      </c>
      <c r="AD106" s="194">
        <v>0.95499999999999996</v>
      </c>
      <c r="AE106" s="194">
        <v>22</v>
      </c>
      <c r="AF106" s="194">
        <v>0.84</v>
      </c>
      <c r="AG106" s="194">
        <v>0.75</v>
      </c>
      <c r="AH106" s="194">
        <v>12</v>
      </c>
      <c r="AI106" s="194">
        <v>0.75</v>
      </c>
      <c r="AJ106" s="194">
        <v>0.75</v>
      </c>
      <c r="AK106" s="194">
        <v>16</v>
      </c>
      <c r="AL106" s="140"/>
      <c r="AM106" s="140"/>
      <c r="AN106" s="140"/>
      <c r="AO106" s="140"/>
      <c r="AP106" s="140"/>
      <c r="AQ106" s="140"/>
      <c r="AR106" s="140"/>
      <c r="AS106" s="140"/>
      <c r="AT106" s="140"/>
      <c r="AU106" s="140"/>
      <c r="AV106" s="140"/>
      <c r="AW106" s="140"/>
      <c r="AX106" s="140"/>
      <c r="AY106" s="140"/>
      <c r="AZ106" s="140"/>
      <c r="BA106" s="140"/>
      <c r="BB106" s="140"/>
      <c r="BC106" s="140"/>
      <c r="BD106" s="140"/>
      <c r="BE106" s="140"/>
      <c r="BF106" s="140"/>
      <c r="BG106" s="140"/>
      <c r="BH106" s="140"/>
      <c r="BI106" s="140"/>
    </row>
    <row r="107" spans="1:61" x14ac:dyDescent="0.3">
      <c r="A107" s="193" t="s">
        <v>337</v>
      </c>
      <c r="B107" s="194">
        <v>0.78900000000000003</v>
      </c>
      <c r="C107" s="194">
        <v>1</v>
      </c>
      <c r="D107" s="194">
        <v>7</v>
      </c>
      <c r="E107" s="194">
        <v>0.74099999999999999</v>
      </c>
      <c r="F107" s="194">
        <v>0.66700000000000004</v>
      </c>
      <c r="G107" s="194">
        <v>12</v>
      </c>
      <c r="H107" s="194">
        <v>0.61499999999999999</v>
      </c>
      <c r="I107" s="194">
        <v>0.625</v>
      </c>
      <c r="J107" s="194">
        <v>8</v>
      </c>
      <c r="K107" s="194">
        <v>0.625</v>
      </c>
      <c r="L107" s="194">
        <v>0.5</v>
      </c>
      <c r="M107" s="194">
        <v>6</v>
      </c>
      <c r="N107" s="194">
        <v>0.68799999999999994</v>
      </c>
      <c r="O107" s="194">
        <v>0.7</v>
      </c>
      <c r="P107" s="194">
        <v>10</v>
      </c>
      <c r="Q107" s="194">
        <v>0.77300000000000002</v>
      </c>
      <c r="R107" s="194">
        <v>0.75</v>
      </c>
      <c r="S107" s="194">
        <v>16</v>
      </c>
      <c r="T107" s="194">
        <v>0.83299999999999996</v>
      </c>
      <c r="U107" s="194">
        <v>0.83299999999999996</v>
      </c>
      <c r="V107" s="194">
        <v>18</v>
      </c>
      <c r="W107" s="194">
        <v>0.85699999999999998</v>
      </c>
      <c r="X107" s="194">
        <v>0.92900000000000005</v>
      </c>
      <c r="Y107" s="194">
        <v>14</v>
      </c>
      <c r="Z107" s="194">
        <v>0.87</v>
      </c>
      <c r="AA107" s="194">
        <v>0.82399999999999995</v>
      </c>
      <c r="AB107" s="194">
        <v>17</v>
      </c>
      <c r="AC107" s="194">
        <v>0.754</v>
      </c>
      <c r="AD107" s="194">
        <v>0.86699999999999999</v>
      </c>
      <c r="AE107" s="194">
        <v>15</v>
      </c>
      <c r="AF107" s="194">
        <v>0.754</v>
      </c>
      <c r="AG107" s="194">
        <v>0.65500000000000003</v>
      </c>
      <c r="AH107" s="194">
        <v>29</v>
      </c>
      <c r="AI107" s="194">
        <v>0.72</v>
      </c>
      <c r="AJ107" s="194">
        <v>0.81</v>
      </c>
      <c r="AK107" s="194">
        <v>21</v>
      </c>
      <c r="AL107" s="140"/>
      <c r="AM107" s="140"/>
      <c r="AN107" s="140"/>
      <c r="AO107" s="140"/>
      <c r="AP107" s="140"/>
      <c r="AQ107" s="140"/>
      <c r="AR107" s="140"/>
      <c r="AS107" s="140"/>
      <c r="AT107" s="140"/>
      <c r="AU107" s="140"/>
      <c r="AV107" s="140"/>
      <c r="AW107" s="140"/>
      <c r="AX107" s="140"/>
      <c r="AY107" s="140"/>
      <c r="AZ107" s="140"/>
      <c r="BA107" s="140"/>
      <c r="BB107" s="140"/>
      <c r="BC107" s="140"/>
      <c r="BD107" s="140"/>
      <c r="BE107" s="140"/>
      <c r="BF107" s="140"/>
      <c r="BG107" s="140"/>
      <c r="BH107" s="140"/>
      <c r="BI107" s="140"/>
    </row>
    <row r="108" spans="1:61" x14ac:dyDescent="0.3">
      <c r="A108" s="193" t="s">
        <v>482</v>
      </c>
      <c r="B108" s="194">
        <v>0.73699999999999999</v>
      </c>
      <c r="C108" s="194">
        <v>0.81799999999999995</v>
      </c>
      <c r="D108" s="194">
        <v>33</v>
      </c>
      <c r="E108" s="194">
        <v>0.73899999999999999</v>
      </c>
      <c r="F108" s="194">
        <v>0.625</v>
      </c>
      <c r="G108" s="194">
        <v>24</v>
      </c>
      <c r="H108" s="194">
        <v>0.65400000000000003</v>
      </c>
      <c r="I108" s="194">
        <v>0.74199999999999999</v>
      </c>
      <c r="J108" s="194">
        <v>31</v>
      </c>
      <c r="K108" s="194">
        <v>0.70399999999999996</v>
      </c>
      <c r="L108" s="194">
        <v>0.56499999999999995</v>
      </c>
      <c r="M108" s="194">
        <v>23</v>
      </c>
      <c r="N108" s="194">
        <v>0.69199999999999995</v>
      </c>
      <c r="O108" s="194">
        <v>0.77800000000000002</v>
      </c>
      <c r="P108" s="194">
        <v>27</v>
      </c>
      <c r="Q108" s="194">
        <v>0.71899999999999997</v>
      </c>
      <c r="R108" s="194">
        <v>0.71399999999999997</v>
      </c>
      <c r="S108" s="194">
        <v>28</v>
      </c>
      <c r="T108" s="194">
        <v>0.69599999999999995</v>
      </c>
      <c r="U108" s="194">
        <v>0.67600000000000005</v>
      </c>
      <c r="V108" s="194">
        <v>34</v>
      </c>
      <c r="W108" s="194">
        <v>0.63500000000000001</v>
      </c>
      <c r="X108" s="194">
        <v>0.7</v>
      </c>
      <c r="Y108" s="194">
        <v>30</v>
      </c>
      <c r="Z108" s="194">
        <v>0.59699999999999998</v>
      </c>
      <c r="AA108" s="194">
        <v>0.47599999999999998</v>
      </c>
      <c r="AB108" s="194">
        <v>21</v>
      </c>
      <c r="AC108" s="194">
        <v>0.54200000000000004</v>
      </c>
      <c r="AD108" s="194">
        <v>0.57099999999999995</v>
      </c>
      <c r="AE108" s="194">
        <v>21</v>
      </c>
      <c r="AF108" s="194">
        <v>0.68100000000000005</v>
      </c>
      <c r="AG108" s="194">
        <v>0.58799999999999997</v>
      </c>
      <c r="AH108" s="194">
        <v>17</v>
      </c>
      <c r="AI108" s="194">
        <v>0.72499999999999998</v>
      </c>
      <c r="AJ108" s="194">
        <v>0.79400000000000004</v>
      </c>
      <c r="AK108" s="194">
        <v>34</v>
      </c>
      <c r="AL108" s="140"/>
      <c r="AM108" s="140"/>
      <c r="AN108" s="140"/>
      <c r="AO108" s="140"/>
      <c r="AP108" s="140"/>
      <c r="AQ108" s="140"/>
      <c r="AR108" s="140"/>
      <c r="AS108" s="140"/>
      <c r="AT108" s="140"/>
      <c r="AU108" s="140"/>
      <c r="AV108" s="140"/>
      <c r="AW108" s="140"/>
      <c r="AX108" s="140"/>
      <c r="AY108" s="140"/>
      <c r="AZ108" s="140"/>
      <c r="BA108" s="140"/>
      <c r="BB108" s="140"/>
      <c r="BC108" s="140"/>
      <c r="BD108" s="140"/>
      <c r="BE108" s="140"/>
      <c r="BF108" s="140"/>
      <c r="BG108" s="140"/>
      <c r="BH108" s="140"/>
      <c r="BI108" s="140"/>
    </row>
    <row r="109" spans="1:61" x14ac:dyDescent="0.3">
      <c r="A109" s="193" t="s">
        <v>546</v>
      </c>
      <c r="B109" s="194">
        <v>0.79100000000000004</v>
      </c>
      <c r="C109" s="194">
        <v>0.75</v>
      </c>
      <c r="D109" s="194">
        <v>16</v>
      </c>
      <c r="E109" s="194">
        <v>0.875</v>
      </c>
      <c r="F109" s="194">
        <v>0.81499999999999995</v>
      </c>
      <c r="G109" s="194">
        <v>27</v>
      </c>
      <c r="H109" s="194">
        <v>0.93899999999999995</v>
      </c>
      <c r="I109" s="194">
        <v>1</v>
      </c>
      <c r="J109" s="194">
        <v>29</v>
      </c>
      <c r="K109" s="194">
        <v>0.92700000000000005</v>
      </c>
      <c r="L109" s="194">
        <v>1</v>
      </c>
      <c r="M109" s="194">
        <v>26</v>
      </c>
      <c r="N109" s="194">
        <v>0.88</v>
      </c>
      <c r="O109" s="194">
        <v>0.77800000000000002</v>
      </c>
      <c r="P109" s="194">
        <v>27</v>
      </c>
      <c r="Q109" s="194">
        <v>0.83899999999999997</v>
      </c>
      <c r="R109" s="194">
        <v>0.86399999999999999</v>
      </c>
      <c r="S109" s="194">
        <v>22</v>
      </c>
      <c r="T109" s="194">
        <v>0.83</v>
      </c>
      <c r="U109" s="194">
        <v>1</v>
      </c>
      <c r="V109" s="194">
        <v>7</v>
      </c>
      <c r="W109" s="194">
        <v>0.80800000000000005</v>
      </c>
      <c r="X109" s="194">
        <v>0.72199999999999998</v>
      </c>
      <c r="Y109" s="194">
        <v>18</v>
      </c>
      <c r="Z109" s="194">
        <v>0.754</v>
      </c>
      <c r="AA109" s="194">
        <v>0.81499999999999995</v>
      </c>
      <c r="AB109" s="194">
        <v>27</v>
      </c>
      <c r="AC109" s="194">
        <v>0.78800000000000003</v>
      </c>
      <c r="AD109" s="194">
        <v>0.66700000000000004</v>
      </c>
      <c r="AE109" s="194">
        <v>12</v>
      </c>
      <c r="AF109" s="194">
        <v>0.76600000000000001</v>
      </c>
      <c r="AG109" s="194">
        <v>0.84599999999999997</v>
      </c>
      <c r="AH109" s="194">
        <v>13</v>
      </c>
      <c r="AI109" s="194">
        <v>0.8</v>
      </c>
      <c r="AJ109" s="194">
        <v>0.77300000000000002</v>
      </c>
      <c r="AK109" s="194">
        <v>22</v>
      </c>
      <c r="AL109" s="140"/>
      <c r="AM109" s="140"/>
      <c r="AN109" s="140"/>
      <c r="AO109" s="140"/>
      <c r="AP109" s="140"/>
      <c r="AQ109" s="140"/>
      <c r="AR109" s="140"/>
      <c r="AS109" s="140"/>
      <c r="AT109" s="140"/>
      <c r="AU109" s="140"/>
      <c r="AV109" s="140"/>
      <c r="AW109" s="140"/>
      <c r="AX109" s="140"/>
      <c r="AY109" s="140"/>
      <c r="AZ109" s="140"/>
      <c r="BA109" s="140"/>
      <c r="BB109" s="140"/>
      <c r="BC109" s="140"/>
      <c r="BD109" s="140"/>
      <c r="BE109" s="140"/>
      <c r="BF109" s="140"/>
      <c r="BG109" s="140"/>
      <c r="BH109" s="140"/>
      <c r="BI109" s="140"/>
    </row>
    <row r="110" spans="1:61" x14ac:dyDescent="0.3">
      <c r="A110" s="193" t="s">
        <v>538</v>
      </c>
      <c r="B110" s="194">
        <v>0.82099999999999995</v>
      </c>
      <c r="C110" s="194">
        <v>0.91700000000000004</v>
      </c>
      <c r="D110" s="194">
        <v>12</v>
      </c>
      <c r="E110" s="194">
        <v>0.83799999999999997</v>
      </c>
      <c r="F110" s="194">
        <v>0.75</v>
      </c>
      <c r="G110" s="194">
        <v>16</v>
      </c>
      <c r="H110" s="194">
        <v>0.79400000000000004</v>
      </c>
      <c r="I110" s="194">
        <v>0.88900000000000001</v>
      </c>
      <c r="J110" s="194">
        <v>9</v>
      </c>
      <c r="K110" s="194">
        <v>0.81799999999999995</v>
      </c>
      <c r="L110" s="194">
        <v>0.77800000000000002</v>
      </c>
      <c r="M110" s="194">
        <v>9</v>
      </c>
      <c r="N110" s="194">
        <v>0.78600000000000003</v>
      </c>
      <c r="O110" s="194">
        <v>0.75</v>
      </c>
      <c r="P110" s="194">
        <v>4</v>
      </c>
      <c r="Q110" s="194">
        <v>0.85699999999999998</v>
      </c>
      <c r="R110" s="194">
        <v>1</v>
      </c>
      <c r="S110" s="194">
        <v>1</v>
      </c>
      <c r="T110" s="194">
        <v>1</v>
      </c>
      <c r="U110" s="194">
        <v>1</v>
      </c>
      <c r="V110" s="194">
        <v>2</v>
      </c>
      <c r="W110" s="194">
        <v>1</v>
      </c>
      <c r="X110" s="194">
        <v>1</v>
      </c>
      <c r="Y110" s="194">
        <v>3</v>
      </c>
      <c r="Z110" s="194">
        <v>0.6</v>
      </c>
      <c r="AA110" s="194"/>
      <c r="AB110" s="194"/>
      <c r="AC110" s="194">
        <v>0.75</v>
      </c>
      <c r="AD110" s="194">
        <v>0</v>
      </c>
      <c r="AE110" s="194">
        <v>2</v>
      </c>
      <c r="AF110" s="194">
        <v>0.72</v>
      </c>
      <c r="AG110" s="194">
        <v>0.85699999999999998</v>
      </c>
      <c r="AH110" s="194">
        <v>14</v>
      </c>
      <c r="AI110" s="194">
        <v>0.78300000000000003</v>
      </c>
      <c r="AJ110" s="194">
        <v>0.66700000000000004</v>
      </c>
      <c r="AK110" s="194">
        <v>9</v>
      </c>
      <c r="AL110" s="140"/>
      <c r="AM110" s="140"/>
      <c r="AN110" s="140"/>
      <c r="AO110" s="140"/>
      <c r="AP110" s="140"/>
      <c r="AQ110" s="140"/>
      <c r="AR110" s="140"/>
      <c r="AS110" s="140"/>
      <c r="AT110" s="140"/>
      <c r="AU110" s="140"/>
      <c r="AV110" s="140"/>
      <c r="AW110" s="140"/>
      <c r="AX110" s="140"/>
      <c r="AY110" s="140"/>
      <c r="AZ110" s="140"/>
      <c r="BA110" s="140"/>
      <c r="BB110" s="140"/>
      <c r="BC110" s="140"/>
      <c r="BD110" s="140"/>
      <c r="BE110" s="140"/>
      <c r="BF110" s="140"/>
      <c r="BG110" s="140"/>
      <c r="BH110" s="140"/>
      <c r="BI110" s="140"/>
    </row>
    <row r="111" spans="1:61" x14ac:dyDescent="0.3">
      <c r="A111" s="193" t="s">
        <v>303</v>
      </c>
      <c r="B111" s="194">
        <v>0.83799999999999997</v>
      </c>
      <c r="C111" s="194">
        <v>0.88200000000000001</v>
      </c>
      <c r="D111" s="194">
        <v>17</v>
      </c>
      <c r="E111" s="194">
        <v>0.83299999999999996</v>
      </c>
      <c r="F111" s="194">
        <v>0.8</v>
      </c>
      <c r="G111" s="194">
        <v>20</v>
      </c>
      <c r="H111" s="194">
        <v>0.86899999999999999</v>
      </c>
      <c r="I111" s="194">
        <v>0.82399999999999995</v>
      </c>
      <c r="J111" s="194">
        <v>17</v>
      </c>
      <c r="K111" s="194">
        <v>0.90200000000000002</v>
      </c>
      <c r="L111" s="194">
        <v>0.95799999999999996</v>
      </c>
      <c r="M111" s="194">
        <v>24</v>
      </c>
      <c r="N111" s="194">
        <v>0.91200000000000003</v>
      </c>
      <c r="O111" s="194">
        <v>0.9</v>
      </c>
      <c r="P111" s="194">
        <v>20</v>
      </c>
      <c r="Q111" s="194">
        <v>0.9</v>
      </c>
      <c r="R111" s="194">
        <v>0.84599999999999997</v>
      </c>
      <c r="S111" s="194">
        <v>13</v>
      </c>
      <c r="T111" s="194">
        <v>0.90200000000000002</v>
      </c>
      <c r="U111" s="194">
        <v>1</v>
      </c>
      <c r="V111" s="194">
        <v>7</v>
      </c>
      <c r="W111" s="194">
        <v>0.92300000000000004</v>
      </c>
      <c r="X111" s="194">
        <v>0.90500000000000003</v>
      </c>
      <c r="Y111" s="194">
        <v>21</v>
      </c>
      <c r="Z111" s="194">
        <v>0.86</v>
      </c>
      <c r="AA111" s="194">
        <v>0.90900000000000003</v>
      </c>
      <c r="AB111" s="194">
        <v>11</v>
      </c>
      <c r="AC111" s="194">
        <v>0.78100000000000003</v>
      </c>
      <c r="AD111" s="194">
        <v>0.77800000000000002</v>
      </c>
      <c r="AE111" s="194">
        <v>18</v>
      </c>
      <c r="AF111" s="194">
        <v>0.76100000000000001</v>
      </c>
      <c r="AG111" s="194">
        <v>0.74299999999999999</v>
      </c>
      <c r="AH111" s="194">
        <v>35</v>
      </c>
      <c r="AI111" s="194">
        <v>0.755</v>
      </c>
      <c r="AJ111" s="194">
        <v>0.78600000000000003</v>
      </c>
      <c r="AK111" s="194">
        <v>14</v>
      </c>
      <c r="AL111" s="140"/>
      <c r="AM111" s="140"/>
      <c r="AN111" s="140"/>
      <c r="AO111" s="140"/>
      <c r="AP111" s="140"/>
      <c r="AQ111" s="140"/>
      <c r="AR111" s="140"/>
      <c r="AS111" s="140"/>
      <c r="AT111" s="140"/>
      <c r="AU111" s="140"/>
      <c r="AV111" s="140"/>
      <c r="AW111" s="140"/>
      <c r="AX111" s="140"/>
      <c r="AY111" s="140"/>
      <c r="AZ111" s="140"/>
      <c r="BA111" s="140"/>
      <c r="BB111" s="140"/>
      <c r="BC111" s="140"/>
      <c r="BD111" s="140"/>
      <c r="BE111" s="140"/>
      <c r="BF111" s="140"/>
      <c r="BG111" s="140"/>
      <c r="BH111" s="140"/>
      <c r="BI111" s="140"/>
    </row>
    <row r="112" spans="1:61" x14ac:dyDescent="0.3">
      <c r="A112" s="193" t="s">
        <v>433</v>
      </c>
      <c r="B112" s="194">
        <v>0.77600000000000002</v>
      </c>
      <c r="C112" s="194">
        <v>0.89300000000000002</v>
      </c>
      <c r="D112" s="194">
        <v>28</v>
      </c>
      <c r="E112" s="194">
        <v>0.75600000000000001</v>
      </c>
      <c r="F112" s="194">
        <v>0.61899999999999999</v>
      </c>
      <c r="G112" s="194">
        <v>21</v>
      </c>
      <c r="H112" s="194">
        <v>0.73199999999999998</v>
      </c>
      <c r="I112" s="194">
        <v>0.72399999999999998</v>
      </c>
      <c r="J112" s="194">
        <v>29</v>
      </c>
      <c r="K112" s="194">
        <v>0.80500000000000005</v>
      </c>
      <c r="L112" s="194">
        <v>0.81299999999999994</v>
      </c>
      <c r="M112" s="194">
        <v>32</v>
      </c>
      <c r="N112" s="194">
        <v>0.84499999999999997</v>
      </c>
      <c r="O112" s="194">
        <v>0.93799999999999994</v>
      </c>
      <c r="P112" s="194">
        <v>16</v>
      </c>
      <c r="Q112" s="194">
        <v>0.873</v>
      </c>
      <c r="R112" s="194">
        <v>0.82599999999999996</v>
      </c>
      <c r="S112" s="194">
        <v>23</v>
      </c>
      <c r="T112" s="194">
        <v>0.81</v>
      </c>
      <c r="U112" s="194">
        <v>0.875</v>
      </c>
      <c r="V112" s="194">
        <v>16</v>
      </c>
      <c r="W112" s="194">
        <v>0.78100000000000003</v>
      </c>
      <c r="X112" s="194">
        <v>0.75</v>
      </c>
      <c r="Y112" s="194">
        <v>24</v>
      </c>
      <c r="Z112" s="194">
        <v>0.67100000000000004</v>
      </c>
      <c r="AA112" s="194">
        <v>0.75800000000000001</v>
      </c>
      <c r="AB112" s="194">
        <v>33</v>
      </c>
      <c r="AC112" s="194">
        <v>0.66700000000000004</v>
      </c>
      <c r="AD112" s="194">
        <v>0.48</v>
      </c>
      <c r="AE112" s="194">
        <v>25</v>
      </c>
      <c r="AF112" s="194">
        <v>0.624</v>
      </c>
      <c r="AG112" s="194">
        <v>0.73099999999999998</v>
      </c>
      <c r="AH112" s="194">
        <v>26</v>
      </c>
      <c r="AI112" s="194">
        <v>0.67100000000000004</v>
      </c>
      <c r="AJ112" s="194">
        <v>0.64</v>
      </c>
      <c r="AK112" s="194">
        <v>50</v>
      </c>
      <c r="AL112" s="140"/>
      <c r="AM112" s="140"/>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c r="BI112" s="140"/>
    </row>
    <row r="113" spans="1:61" x14ac:dyDescent="0.3">
      <c r="A113" s="193" t="s">
        <v>348</v>
      </c>
      <c r="B113" s="194">
        <v>0.71899999999999997</v>
      </c>
      <c r="C113" s="194">
        <v>0.75</v>
      </c>
      <c r="D113" s="194">
        <v>12</v>
      </c>
      <c r="E113" s="194">
        <v>0.72699999999999998</v>
      </c>
      <c r="F113" s="194">
        <v>0.7</v>
      </c>
      <c r="G113" s="194">
        <v>20</v>
      </c>
      <c r="H113" s="194">
        <v>0.67200000000000004</v>
      </c>
      <c r="I113" s="194">
        <v>0.73899999999999999</v>
      </c>
      <c r="J113" s="194">
        <v>23</v>
      </c>
      <c r="K113" s="194">
        <v>0.7</v>
      </c>
      <c r="L113" s="194">
        <v>0.57099999999999995</v>
      </c>
      <c r="M113" s="194">
        <v>21</v>
      </c>
      <c r="N113" s="194">
        <v>0.66700000000000004</v>
      </c>
      <c r="O113" s="194">
        <v>0.81299999999999994</v>
      </c>
      <c r="P113" s="194">
        <v>16</v>
      </c>
      <c r="Q113" s="194">
        <v>0.75</v>
      </c>
      <c r="R113" s="194">
        <v>0.63600000000000001</v>
      </c>
      <c r="S113" s="194">
        <v>11</v>
      </c>
      <c r="T113" s="194">
        <v>0.72699999999999998</v>
      </c>
      <c r="U113" s="194">
        <v>0.76900000000000002</v>
      </c>
      <c r="V113" s="194">
        <v>13</v>
      </c>
      <c r="W113" s="194">
        <v>0.68400000000000005</v>
      </c>
      <c r="X113" s="194">
        <v>0.75</v>
      </c>
      <c r="Y113" s="194">
        <v>20</v>
      </c>
      <c r="Z113" s="194">
        <v>0.70599999999999996</v>
      </c>
      <c r="AA113" s="194">
        <v>0.58299999999999996</v>
      </c>
      <c r="AB113" s="194">
        <v>24</v>
      </c>
      <c r="AC113" s="194">
        <v>0.625</v>
      </c>
      <c r="AD113" s="194">
        <v>1</v>
      </c>
      <c r="AE113" s="194">
        <v>7</v>
      </c>
      <c r="AF113" s="194">
        <v>0.61099999999999999</v>
      </c>
      <c r="AG113" s="194">
        <v>0.56000000000000005</v>
      </c>
      <c r="AH113" s="194">
        <v>25</v>
      </c>
      <c r="AI113" s="194">
        <v>0.55300000000000005</v>
      </c>
      <c r="AJ113" s="194">
        <v>0.54500000000000004</v>
      </c>
      <c r="AK113" s="194">
        <v>22</v>
      </c>
      <c r="AL113" s="140"/>
      <c r="AM113" s="140"/>
      <c r="AN113" s="140"/>
      <c r="AO113" s="140"/>
      <c r="AP113" s="140"/>
      <c r="AQ113" s="140"/>
      <c r="AR113" s="140"/>
      <c r="AS113" s="140"/>
      <c r="AT113" s="140"/>
      <c r="AU113" s="140"/>
      <c r="AV113" s="140"/>
      <c r="AW113" s="140"/>
      <c r="AX113" s="140"/>
      <c r="AY113" s="140"/>
      <c r="AZ113" s="140"/>
      <c r="BA113" s="140"/>
      <c r="BB113" s="140"/>
      <c r="BC113" s="140"/>
      <c r="BD113" s="140"/>
      <c r="BE113" s="140"/>
      <c r="BF113" s="140"/>
      <c r="BG113" s="140"/>
      <c r="BH113" s="140"/>
      <c r="BI113" s="140"/>
    </row>
    <row r="114" spans="1:61" x14ac:dyDescent="0.3">
      <c r="A114" s="193" t="s">
        <v>410</v>
      </c>
      <c r="B114" s="194">
        <v>0.92900000000000005</v>
      </c>
      <c r="C114" s="194">
        <v>0.92900000000000005</v>
      </c>
      <c r="D114" s="194">
        <v>28</v>
      </c>
      <c r="E114" s="194">
        <v>0.88400000000000001</v>
      </c>
      <c r="F114" s="194">
        <v>0.92900000000000005</v>
      </c>
      <c r="G114" s="194">
        <v>28</v>
      </c>
      <c r="H114" s="194">
        <v>0.9</v>
      </c>
      <c r="I114" s="194">
        <v>0.8</v>
      </c>
      <c r="J114" s="194">
        <v>30</v>
      </c>
      <c r="K114" s="194">
        <v>0.90100000000000002</v>
      </c>
      <c r="L114" s="194">
        <v>1</v>
      </c>
      <c r="M114" s="194">
        <v>22</v>
      </c>
      <c r="N114" s="194">
        <v>0.96299999999999997</v>
      </c>
      <c r="O114" s="194">
        <v>0.93100000000000005</v>
      </c>
      <c r="P114" s="194">
        <v>29</v>
      </c>
      <c r="Q114" s="194">
        <v>0.94599999999999995</v>
      </c>
      <c r="R114" s="194">
        <v>0.96699999999999997</v>
      </c>
      <c r="S114" s="194">
        <v>30</v>
      </c>
      <c r="T114" s="194">
        <v>0.96199999999999997</v>
      </c>
      <c r="U114" s="194">
        <v>0.93899999999999995</v>
      </c>
      <c r="V114" s="194">
        <v>33</v>
      </c>
      <c r="W114" s="194">
        <v>0.877</v>
      </c>
      <c r="X114" s="194">
        <v>1</v>
      </c>
      <c r="Y114" s="194">
        <v>16</v>
      </c>
      <c r="Z114" s="194">
        <v>0.78100000000000003</v>
      </c>
      <c r="AA114" s="194">
        <v>0.625</v>
      </c>
      <c r="AB114" s="194">
        <v>16</v>
      </c>
      <c r="AC114" s="194">
        <v>0.78</v>
      </c>
      <c r="AD114" s="194">
        <v>0.75</v>
      </c>
      <c r="AE114" s="194">
        <v>32</v>
      </c>
      <c r="AF114" s="194">
        <v>0.72</v>
      </c>
      <c r="AG114" s="194">
        <v>0.88200000000000001</v>
      </c>
      <c r="AH114" s="194">
        <v>34</v>
      </c>
      <c r="AI114" s="194">
        <v>0.70599999999999996</v>
      </c>
      <c r="AJ114" s="194">
        <v>0.52900000000000003</v>
      </c>
      <c r="AK114" s="194">
        <v>34</v>
      </c>
      <c r="AL114" s="140"/>
      <c r="AM114" s="140"/>
      <c r="AN114" s="140"/>
      <c r="AO114" s="140"/>
      <c r="AP114" s="140"/>
      <c r="AQ114" s="140"/>
      <c r="AR114" s="140"/>
      <c r="AS114" s="140"/>
      <c r="AT114" s="140"/>
      <c r="AU114" s="140"/>
      <c r="AV114" s="140"/>
      <c r="AW114" s="140"/>
      <c r="AX114" s="140"/>
      <c r="AY114" s="140"/>
      <c r="AZ114" s="140"/>
      <c r="BA114" s="140"/>
      <c r="BB114" s="140"/>
      <c r="BC114" s="140"/>
      <c r="BD114" s="140"/>
      <c r="BE114" s="140"/>
      <c r="BF114" s="140"/>
      <c r="BG114" s="140"/>
      <c r="BH114" s="140"/>
      <c r="BI114" s="140"/>
    </row>
    <row r="115" spans="1:61" x14ac:dyDescent="0.3">
      <c r="A115" s="193" t="s">
        <v>460</v>
      </c>
      <c r="B115" s="194">
        <v>0.85699999999999998</v>
      </c>
      <c r="C115" s="194">
        <v>0.83299999999999996</v>
      </c>
      <c r="D115" s="194">
        <v>18</v>
      </c>
      <c r="E115" s="194">
        <v>0.81799999999999995</v>
      </c>
      <c r="F115" s="194">
        <v>0.871</v>
      </c>
      <c r="G115" s="194">
        <v>31</v>
      </c>
      <c r="H115" s="194">
        <v>0.82099999999999995</v>
      </c>
      <c r="I115" s="194">
        <v>0.75</v>
      </c>
      <c r="J115" s="194">
        <v>28</v>
      </c>
      <c r="K115" s="194">
        <v>0.82899999999999996</v>
      </c>
      <c r="L115" s="194">
        <v>0.84</v>
      </c>
      <c r="M115" s="194">
        <v>25</v>
      </c>
      <c r="N115" s="194">
        <v>0.877</v>
      </c>
      <c r="O115" s="194">
        <v>0.91300000000000003</v>
      </c>
      <c r="P115" s="194">
        <v>23</v>
      </c>
      <c r="Q115" s="194">
        <v>0.89700000000000002</v>
      </c>
      <c r="R115" s="194">
        <v>0.879</v>
      </c>
      <c r="S115" s="194">
        <v>33</v>
      </c>
      <c r="T115" s="194">
        <v>0.90200000000000002</v>
      </c>
      <c r="U115" s="194">
        <v>0.91700000000000004</v>
      </c>
      <c r="V115" s="194">
        <v>12</v>
      </c>
      <c r="W115" s="194">
        <v>0.90500000000000003</v>
      </c>
      <c r="X115" s="194">
        <v>0.93799999999999994</v>
      </c>
      <c r="Y115" s="194">
        <v>16</v>
      </c>
      <c r="Z115" s="194">
        <v>0.875</v>
      </c>
      <c r="AA115" s="194">
        <v>0.85699999999999998</v>
      </c>
      <c r="AB115" s="194">
        <v>14</v>
      </c>
      <c r="AC115" s="194">
        <v>0.83699999999999997</v>
      </c>
      <c r="AD115" s="194">
        <v>0.83299999999999996</v>
      </c>
      <c r="AE115" s="194">
        <v>18</v>
      </c>
      <c r="AF115" s="194">
        <v>0.86</v>
      </c>
      <c r="AG115" s="194">
        <v>0.82399999999999995</v>
      </c>
      <c r="AH115" s="194">
        <v>17</v>
      </c>
      <c r="AI115" s="194">
        <v>0.872</v>
      </c>
      <c r="AJ115" s="194">
        <v>0.90900000000000003</v>
      </c>
      <c r="AK115" s="194">
        <v>22</v>
      </c>
      <c r="AL115" s="140"/>
      <c r="AM115" s="140"/>
      <c r="AN115" s="140"/>
      <c r="AO115" s="140"/>
      <c r="AP115" s="140"/>
      <c r="AQ115" s="140"/>
      <c r="AR115" s="140"/>
      <c r="AS115" s="140"/>
      <c r="AT115" s="140"/>
      <c r="AU115" s="140"/>
      <c r="AV115" s="140"/>
      <c r="AW115" s="140"/>
      <c r="AX115" s="140"/>
      <c r="AY115" s="140"/>
      <c r="AZ115" s="140"/>
      <c r="BA115" s="140"/>
      <c r="BB115" s="140"/>
      <c r="BC115" s="140"/>
      <c r="BD115" s="140"/>
      <c r="BE115" s="140"/>
      <c r="BF115" s="140"/>
      <c r="BG115" s="140"/>
      <c r="BH115" s="140"/>
      <c r="BI115" s="140"/>
    </row>
    <row r="116" spans="1:61" x14ac:dyDescent="0.3">
      <c r="A116" s="193" t="s">
        <v>288</v>
      </c>
      <c r="B116" s="194">
        <v>0.85699999999999998</v>
      </c>
      <c r="C116" s="194">
        <v>0.88900000000000001</v>
      </c>
      <c r="D116" s="194">
        <v>18</v>
      </c>
      <c r="E116" s="194">
        <v>0.89700000000000002</v>
      </c>
      <c r="F116" s="194">
        <v>0.82399999999999995</v>
      </c>
      <c r="G116" s="194">
        <v>17</v>
      </c>
      <c r="H116" s="194">
        <v>0.86199999999999999</v>
      </c>
      <c r="I116" s="194">
        <v>0.95699999999999996</v>
      </c>
      <c r="J116" s="194">
        <v>23</v>
      </c>
      <c r="K116" s="194">
        <v>0.91100000000000003</v>
      </c>
      <c r="L116" s="194">
        <v>0.77800000000000002</v>
      </c>
      <c r="M116" s="194">
        <v>18</v>
      </c>
      <c r="N116" s="194">
        <v>0.83299999999999996</v>
      </c>
      <c r="O116" s="194">
        <v>1</v>
      </c>
      <c r="P116" s="194">
        <v>15</v>
      </c>
      <c r="Q116" s="194">
        <v>0.83299999999999996</v>
      </c>
      <c r="R116" s="194">
        <v>0.73299999999999998</v>
      </c>
      <c r="S116" s="194">
        <v>15</v>
      </c>
      <c r="T116" s="194">
        <v>0.83299999999999996</v>
      </c>
      <c r="U116" s="194">
        <v>0.75</v>
      </c>
      <c r="V116" s="194">
        <v>12</v>
      </c>
      <c r="W116" s="194">
        <v>0.81</v>
      </c>
      <c r="X116" s="194">
        <v>1</v>
      </c>
      <c r="Y116" s="194">
        <v>15</v>
      </c>
      <c r="Z116" s="194">
        <v>0.82499999999999996</v>
      </c>
      <c r="AA116" s="194">
        <v>0.66700000000000004</v>
      </c>
      <c r="AB116" s="194">
        <v>15</v>
      </c>
      <c r="AC116" s="194">
        <v>0.68799999999999994</v>
      </c>
      <c r="AD116" s="194">
        <v>0.8</v>
      </c>
      <c r="AE116" s="194">
        <v>10</v>
      </c>
      <c r="AF116" s="194">
        <v>0.76700000000000002</v>
      </c>
      <c r="AG116" s="194">
        <v>0.57099999999999995</v>
      </c>
      <c r="AH116" s="194">
        <v>7</v>
      </c>
      <c r="AI116" s="194">
        <v>0.75</v>
      </c>
      <c r="AJ116" s="194">
        <v>0.84599999999999997</v>
      </c>
      <c r="AK116" s="194">
        <v>13</v>
      </c>
      <c r="AL116" s="140"/>
      <c r="AM116" s="140"/>
      <c r="AN116" s="140"/>
      <c r="AO116" s="140"/>
      <c r="AP116" s="140"/>
      <c r="AQ116" s="140"/>
      <c r="AR116" s="140"/>
      <c r="AS116" s="140"/>
      <c r="AT116" s="140"/>
      <c r="AU116" s="140"/>
      <c r="AV116" s="140"/>
      <c r="AW116" s="140"/>
      <c r="AX116" s="140"/>
      <c r="AY116" s="140"/>
      <c r="AZ116" s="140"/>
      <c r="BA116" s="140"/>
      <c r="BB116" s="140"/>
      <c r="BC116" s="140"/>
      <c r="BD116" s="140"/>
      <c r="BE116" s="140"/>
      <c r="BF116" s="140"/>
      <c r="BG116" s="140"/>
      <c r="BH116" s="140"/>
      <c r="BI116" s="140"/>
    </row>
    <row r="117" spans="1:61" x14ac:dyDescent="0.3">
      <c r="A117" s="193" t="s">
        <v>388</v>
      </c>
      <c r="B117" s="194">
        <v>0.92600000000000005</v>
      </c>
      <c r="C117" s="194">
        <v>0.92300000000000004</v>
      </c>
      <c r="D117" s="194">
        <v>13</v>
      </c>
      <c r="E117" s="194">
        <v>0.94899999999999995</v>
      </c>
      <c r="F117" s="194">
        <v>0.92900000000000005</v>
      </c>
      <c r="G117" s="194">
        <v>14</v>
      </c>
      <c r="H117" s="194">
        <v>0.92100000000000004</v>
      </c>
      <c r="I117" s="194">
        <v>1</v>
      </c>
      <c r="J117" s="194">
        <v>12</v>
      </c>
      <c r="K117" s="194">
        <v>0.93100000000000005</v>
      </c>
      <c r="L117" s="194">
        <v>0.83299999999999996</v>
      </c>
      <c r="M117" s="194">
        <v>12</v>
      </c>
      <c r="N117" s="194">
        <v>0.875</v>
      </c>
      <c r="O117" s="194">
        <v>1</v>
      </c>
      <c r="P117" s="194">
        <v>5</v>
      </c>
      <c r="Q117" s="194">
        <v>0.9</v>
      </c>
      <c r="R117" s="194">
        <v>0.85699999999999998</v>
      </c>
      <c r="S117" s="194">
        <v>7</v>
      </c>
      <c r="T117" s="194">
        <v>0.879</v>
      </c>
      <c r="U117" s="194">
        <v>0.875</v>
      </c>
      <c r="V117" s="194">
        <v>8</v>
      </c>
      <c r="W117" s="194">
        <v>0.872</v>
      </c>
      <c r="X117" s="194">
        <v>0.88900000000000001</v>
      </c>
      <c r="Y117" s="194">
        <v>18</v>
      </c>
      <c r="Z117" s="194">
        <v>0.83299999999999996</v>
      </c>
      <c r="AA117" s="194">
        <v>0.85699999999999998</v>
      </c>
      <c r="AB117" s="194">
        <v>21</v>
      </c>
      <c r="AC117" s="194">
        <v>0.8</v>
      </c>
      <c r="AD117" s="194">
        <v>0.78800000000000003</v>
      </c>
      <c r="AE117" s="194">
        <v>33</v>
      </c>
      <c r="AF117" s="194">
        <v>0.77900000000000003</v>
      </c>
      <c r="AG117" s="194">
        <v>0.76900000000000002</v>
      </c>
      <c r="AH117" s="194">
        <v>26</v>
      </c>
      <c r="AI117" s="194">
        <v>0.77300000000000002</v>
      </c>
      <c r="AJ117" s="194">
        <v>0.77800000000000002</v>
      </c>
      <c r="AK117" s="194">
        <v>18</v>
      </c>
      <c r="AL117" s="140"/>
      <c r="AM117" s="140"/>
      <c r="AN117" s="140"/>
      <c r="AO117" s="140"/>
      <c r="AP117" s="140"/>
      <c r="AQ117" s="140"/>
      <c r="AR117" s="140"/>
      <c r="AS117" s="140"/>
      <c r="AT117" s="140"/>
      <c r="AU117" s="140"/>
      <c r="AV117" s="140"/>
      <c r="AW117" s="140"/>
      <c r="AX117" s="140"/>
      <c r="AY117" s="140"/>
      <c r="AZ117" s="140"/>
      <c r="BA117" s="140"/>
      <c r="BB117" s="140"/>
      <c r="BC117" s="140"/>
      <c r="BD117" s="140"/>
      <c r="BE117" s="140"/>
      <c r="BF117" s="140"/>
      <c r="BG117" s="140"/>
      <c r="BH117" s="140"/>
      <c r="BI117" s="140"/>
    </row>
    <row r="118" spans="1:61" x14ac:dyDescent="0.3">
      <c r="A118" s="193" t="s">
        <v>322</v>
      </c>
      <c r="B118" s="194">
        <v>0.63600000000000001</v>
      </c>
      <c r="C118" s="194">
        <v>0.33300000000000002</v>
      </c>
      <c r="D118" s="194">
        <v>3</v>
      </c>
      <c r="E118" s="194">
        <v>0.57099999999999995</v>
      </c>
      <c r="F118" s="194">
        <v>0.75</v>
      </c>
      <c r="G118" s="194">
        <v>8</v>
      </c>
      <c r="H118" s="194">
        <v>0.73699999999999999</v>
      </c>
      <c r="I118" s="194">
        <v>0.33300000000000002</v>
      </c>
      <c r="J118" s="194">
        <v>3</v>
      </c>
      <c r="K118" s="194">
        <v>0.8</v>
      </c>
      <c r="L118" s="194">
        <v>0.875</v>
      </c>
      <c r="M118" s="194">
        <v>8</v>
      </c>
      <c r="N118" s="194">
        <v>0.77800000000000002</v>
      </c>
      <c r="O118" s="194">
        <v>1</v>
      </c>
      <c r="P118" s="194">
        <v>4</v>
      </c>
      <c r="Q118" s="194">
        <v>0.76900000000000002</v>
      </c>
      <c r="R118" s="194">
        <v>0.5</v>
      </c>
      <c r="S118" s="194">
        <v>6</v>
      </c>
      <c r="T118" s="194">
        <v>0.68799999999999994</v>
      </c>
      <c r="U118" s="194">
        <v>1</v>
      </c>
      <c r="V118" s="194">
        <v>3</v>
      </c>
      <c r="W118" s="194">
        <v>0.75</v>
      </c>
      <c r="X118" s="194">
        <v>0.71399999999999997</v>
      </c>
      <c r="Y118" s="194">
        <v>7</v>
      </c>
      <c r="Z118" s="194">
        <v>0.70599999999999996</v>
      </c>
      <c r="AA118" s="194">
        <v>0.66700000000000004</v>
      </c>
      <c r="AB118" s="194">
        <v>6</v>
      </c>
      <c r="AC118" s="194">
        <v>0.75800000000000001</v>
      </c>
      <c r="AD118" s="194">
        <v>0.75</v>
      </c>
      <c r="AE118" s="194">
        <v>4</v>
      </c>
      <c r="AF118" s="194">
        <v>0.73699999999999999</v>
      </c>
      <c r="AG118" s="194">
        <v>0.78300000000000003</v>
      </c>
      <c r="AH118" s="194">
        <v>23</v>
      </c>
      <c r="AI118" s="194">
        <v>0.73499999999999999</v>
      </c>
      <c r="AJ118" s="194">
        <v>0.63600000000000001</v>
      </c>
      <c r="AK118" s="194">
        <v>11</v>
      </c>
      <c r="AL118" s="140"/>
      <c r="AM118" s="140"/>
      <c r="AN118" s="140"/>
      <c r="AO118" s="140"/>
      <c r="AP118" s="140"/>
      <c r="AQ118" s="140"/>
      <c r="AR118" s="140"/>
      <c r="AS118" s="140"/>
      <c r="AT118" s="140"/>
      <c r="AU118" s="140"/>
      <c r="AV118" s="140"/>
      <c r="AW118" s="140"/>
      <c r="AX118" s="140"/>
      <c r="AY118" s="140"/>
      <c r="AZ118" s="140"/>
      <c r="BA118" s="140"/>
      <c r="BB118" s="140"/>
      <c r="BC118" s="140"/>
      <c r="BD118" s="140"/>
      <c r="BE118" s="140"/>
      <c r="BF118" s="140"/>
      <c r="BG118" s="140"/>
      <c r="BH118" s="140"/>
      <c r="BI118" s="140"/>
    </row>
    <row r="119" spans="1:61" x14ac:dyDescent="0.3">
      <c r="A119" s="193" t="s">
        <v>299</v>
      </c>
      <c r="B119" s="194">
        <v>0.71</v>
      </c>
      <c r="C119" s="194">
        <v>0.75</v>
      </c>
      <c r="D119" s="194">
        <v>20</v>
      </c>
      <c r="E119" s="194">
        <v>0.70799999999999996</v>
      </c>
      <c r="F119" s="194">
        <v>0.63600000000000001</v>
      </c>
      <c r="G119" s="194">
        <v>11</v>
      </c>
      <c r="H119" s="194">
        <v>0.67600000000000005</v>
      </c>
      <c r="I119" s="194">
        <v>0.70599999999999996</v>
      </c>
      <c r="J119" s="194">
        <v>17</v>
      </c>
      <c r="K119" s="194">
        <v>0.60599999999999998</v>
      </c>
      <c r="L119" s="194">
        <v>0.66700000000000004</v>
      </c>
      <c r="M119" s="194">
        <v>9</v>
      </c>
      <c r="N119" s="194">
        <v>0.35699999999999998</v>
      </c>
      <c r="O119" s="194">
        <v>0.28599999999999998</v>
      </c>
      <c r="P119" s="194">
        <v>7</v>
      </c>
      <c r="Q119" s="194">
        <v>0.24099999999999999</v>
      </c>
      <c r="R119" s="194">
        <v>0.16700000000000001</v>
      </c>
      <c r="S119" s="194">
        <v>12</v>
      </c>
      <c r="T119" s="194">
        <v>0.28100000000000003</v>
      </c>
      <c r="U119" s="194">
        <v>0.3</v>
      </c>
      <c r="V119" s="194">
        <v>10</v>
      </c>
      <c r="W119" s="194">
        <v>0.4</v>
      </c>
      <c r="X119" s="194">
        <v>0.4</v>
      </c>
      <c r="Y119" s="194">
        <v>10</v>
      </c>
      <c r="Z119" s="194">
        <v>0.55200000000000005</v>
      </c>
      <c r="AA119" s="194">
        <v>0.5</v>
      </c>
      <c r="AB119" s="194">
        <v>10</v>
      </c>
      <c r="AC119" s="194">
        <v>0.66700000000000004</v>
      </c>
      <c r="AD119" s="194">
        <v>0.77800000000000002</v>
      </c>
      <c r="AE119" s="194">
        <v>9</v>
      </c>
      <c r="AF119" s="194">
        <v>0.74099999999999999</v>
      </c>
      <c r="AG119" s="194">
        <v>0.8</v>
      </c>
      <c r="AH119" s="194">
        <v>5</v>
      </c>
      <c r="AI119" s="194">
        <v>0.72199999999999998</v>
      </c>
      <c r="AJ119" s="194">
        <v>0.69199999999999995</v>
      </c>
      <c r="AK119" s="194">
        <v>13</v>
      </c>
      <c r="AL119" s="140"/>
      <c r="AM119" s="140"/>
      <c r="AN119" s="140"/>
      <c r="AO119" s="140"/>
      <c r="AP119" s="140"/>
      <c r="AQ119" s="140"/>
      <c r="AR119" s="140"/>
      <c r="AS119" s="140"/>
      <c r="AT119" s="140"/>
      <c r="AU119" s="140"/>
      <c r="AV119" s="140"/>
      <c r="AW119" s="140"/>
      <c r="AX119" s="140"/>
      <c r="AY119" s="140"/>
      <c r="AZ119" s="140"/>
      <c r="BA119" s="140"/>
      <c r="BB119" s="140"/>
      <c r="BC119" s="140"/>
      <c r="BD119" s="140"/>
      <c r="BE119" s="140"/>
      <c r="BF119" s="140"/>
      <c r="BG119" s="140"/>
      <c r="BH119" s="140"/>
      <c r="BI119" s="140"/>
    </row>
    <row r="120" spans="1:61" x14ac:dyDescent="0.3">
      <c r="A120" s="193" t="s">
        <v>343</v>
      </c>
      <c r="B120" s="194">
        <v>0.97</v>
      </c>
      <c r="C120" s="194">
        <v>1</v>
      </c>
      <c r="D120" s="194">
        <v>33</v>
      </c>
      <c r="E120" s="194">
        <v>0.96899999999999997</v>
      </c>
      <c r="F120" s="194">
        <v>0.93899999999999995</v>
      </c>
      <c r="G120" s="194">
        <v>33</v>
      </c>
      <c r="H120" s="194">
        <v>0.92900000000000005</v>
      </c>
      <c r="I120" s="194">
        <v>0.96799999999999997</v>
      </c>
      <c r="J120" s="194">
        <v>31</v>
      </c>
      <c r="K120" s="194">
        <v>0.93799999999999994</v>
      </c>
      <c r="L120" s="194">
        <v>0.85</v>
      </c>
      <c r="M120" s="194">
        <v>20</v>
      </c>
      <c r="N120" s="194">
        <v>0.92600000000000005</v>
      </c>
      <c r="O120" s="194">
        <v>1</v>
      </c>
      <c r="P120" s="194">
        <v>14</v>
      </c>
      <c r="Q120" s="194">
        <v>0.94299999999999995</v>
      </c>
      <c r="R120" s="194">
        <v>0.95</v>
      </c>
      <c r="S120" s="194">
        <v>20</v>
      </c>
      <c r="T120" s="194">
        <v>0.93400000000000005</v>
      </c>
      <c r="U120" s="194">
        <v>0.89500000000000002</v>
      </c>
      <c r="V120" s="194">
        <v>19</v>
      </c>
      <c r="W120" s="194">
        <v>0.89500000000000002</v>
      </c>
      <c r="X120" s="194">
        <v>0.94599999999999995</v>
      </c>
      <c r="Y120" s="194">
        <v>37</v>
      </c>
      <c r="Z120" s="194">
        <v>0.83499999999999996</v>
      </c>
      <c r="AA120" s="194">
        <v>0.84599999999999997</v>
      </c>
      <c r="AB120" s="194">
        <v>39</v>
      </c>
      <c r="AC120" s="194">
        <v>0.73299999999999998</v>
      </c>
      <c r="AD120" s="194">
        <v>0.69699999999999995</v>
      </c>
      <c r="AE120" s="194">
        <v>33</v>
      </c>
      <c r="AF120" s="194">
        <v>0.748</v>
      </c>
      <c r="AG120" s="194">
        <v>0.65900000000000003</v>
      </c>
      <c r="AH120" s="194">
        <v>44</v>
      </c>
      <c r="AI120" s="194">
        <v>0.76900000000000002</v>
      </c>
      <c r="AJ120" s="194">
        <v>0.91200000000000003</v>
      </c>
      <c r="AK120" s="194">
        <v>34</v>
      </c>
      <c r="AL120" s="140"/>
      <c r="AM120" s="140"/>
      <c r="AN120" s="140"/>
      <c r="AO120" s="140"/>
      <c r="AP120" s="140"/>
      <c r="AQ120" s="140"/>
      <c r="AR120" s="140"/>
      <c r="AS120" s="140"/>
      <c r="AT120" s="140"/>
      <c r="AU120" s="140"/>
      <c r="AV120" s="140"/>
      <c r="AW120" s="140"/>
      <c r="AX120" s="140"/>
      <c r="AY120" s="140"/>
      <c r="AZ120" s="140"/>
      <c r="BA120" s="140"/>
      <c r="BB120" s="140"/>
      <c r="BC120" s="140"/>
      <c r="BD120" s="140"/>
      <c r="BE120" s="140"/>
      <c r="BF120" s="140"/>
      <c r="BG120" s="140"/>
      <c r="BH120" s="140"/>
      <c r="BI120" s="140"/>
    </row>
    <row r="121" spans="1:61" x14ac:dyDescent="0.3">
      <c r="A121" s="193" t="s">
        <v>466</v>
      </c>
      <c r="B121" s="194">
        <v>0.84799999999999998</v>
      </c>
      <c r="C121" s="194">
        <v>0.76500000000000001</v>
      </c>
      <c r="D121" s="194">
        <v>17</v>
      </c>
      <c r="E121" s="194">
        <v>0.88100000000000001</v>
      </c>
      <c r="F121" s="194">
        <v>0.93799999999999994</v>
      </c>
      <c r="G121" s="194">
        <v>16</v>
      </c>
      <c r="H121" s="194">
        <v>0.91400000000000003</v>
      </c>
      <c r="I121" s="194">
        <v>0.92300000000000004</v>
      </c>
      <c r="J121" s="194">
        <v>26</v>
      </c>
      <c r="K121" s="194">
        <v>0.89600000000000002</v>
      </c>
      <c r="L121" s="194">
        <v>0.875</v>
      </c>
      <c r="M121" s="194">
        <v>16</v>
      </c>
      <c r="N121" s="194">
        <v>0.877</v>
      </c>
      <c r="O121" s="194">
        <v>0.88</v>
      </c>
      <c r="P121" s="194">
        <v>25</v>
      </c>
      <c r="Q121" s="194">
        <v>0.88600000000000001</v>
      </c>
      <c r="R121" s="194">
        <v>0.875</v>
      </c>
      <c r="S121" s="194">
        <v>32</v>
      </c>
      <c r="T121" s="194">
        <v>0.82399999999999995</v>
      </c>
      <c r="U121" s="194">
        <v>0.90900000000000003</v>
      </c>
      <c r="V121" s="194">
        <v>22</v>
      </c>
      <c r="W121" s="194">
        <v>0.84599999999999997</v>
      </c>
      <c r="X121" s="194">
        <v>0.65</v>
      </c>
      <c r="Y121" s="194">
        <v>20</v>
      </c>
      <c r="Z121" s="194">
        <v>0.78300000000000003</v>
      </c>
      <c r="AA121" s="194">
        <v>0.95699999999999996</v>
      </c>
      <c r="AB121" s="194">
        <v>23</v>
      </c>
      <c r="AC121" s="194">
        <v>0.80700000000000005</v>
      </c>
      <c r="AD121" s="194">
        <v>0.70599999999999996</v>
      </c>
      <c r="AE121" s="194">
        <v>17</v>
      </c>
      <c r="AF121" s="194">
        <v>0.76800000000000002</v>
      </c>
      <c r="AG121" s="194">
        <v>0.70599999999999996</v>
      </c>
      <c r="AH121" s="194">
        <v>17</v>
      </c>
      <c r="AI121" s="194">
        <v>0.78800000000000003</v>
      </c>
      <c r="AJ121" s="194">
        <v>0.82899999999999996</v>
      </c>
      <c r="AK121" s="194">
        <v>35</v>
      </c>
      <c r="AL121" s="140"/>
      <c r="AM121" s="140"/>
      <c r="AN121" s="140"/>
      <c r="AO121" s="140"/>
      <c r="AP121" s="140"/>
      <c r="AQ121" s="140"/>
      <c r="AR121" s="140"/>
      <c r="AS121" s="140"/>
      <c r="AT121" s="140"/>
      <c r="AU121" s="140"/>
      <c r="AV121" s="140"/>
      <c r="AW121" s="140"/>
      <c r="AX121" s="140"/>
      <c r="AY121" s="140"/>
      <c r="AZ121" s="140"/>
      <c r="BA121" s="140"/>
      <c r="BB121" s="140"/>
      <c r="BC121" s="140"/>
      <c r="BD121" s="140"/>
      <c r="BE121" s="140"/>
      <c r="BF121" s="140"/>
      <c r="BG121" s="140"/>
      <c r="BH121" s="140"/>
      <c r="BI121" s="140"/>
    </row>
    <row r="122" spans="1:61" x14ac:dyDescent="0.3">
      <c r="A122" s="193" t="s">
        <v>376</v>
      </c>
      <c r="B122" s="194">
        <v>0.93600000000000005</v>
      </c>
      <c r="C122" s="194">
        <v>0.92600000000000005</v>
      </c>
      <c r="D122" s="194">
        <v>27</v>
      </c>
      <c r="E122" s="194">
        <v>0.94099999999999995</v>
      </c>
      <c r="F122" s="194">
        <v>0.95</v>
      </c>
      <c r="G122" s="194">
        <v>20</v>
      </c>
      <c r="H122" s="194">
        <v>0.93200000000000005</v>
      </c>
      <c r="I122" s="194">
        <v>0.95199999999999996</v>
      </c>
      <c r="J122" s="194">
        <v>21</v>
      </c>
      <c r="K122" s="194">
        <v>0.93600000000000005</v>
      </c>
      <c r="L122" s="194">
        <v>0.90600000000000003</v>
      </c>
      <c r="M122" s="194">
        <v>32</v>
      </c>
      <c r="N122" s="194">
        <v>0.90700000000000003</v>
      </c>
      <c r="O122" s="194">
        <v>0.96</v>
      </c>
      <c r="P122" s="194">
        <v>25</v>
      </c>
      <c r="Q122" s="194">
        <v>0.92900000000000005</v>
      </c>
      <c r="R122" s="194">
        <v>0.86199999999999999</v>
      </c>
      <c r="S122" s="194">
        <v>29</v>
      </c>
      <c r="T122" s="194">
        <v>0.91200000000000003</v>
      </c>
      <c r="U122" s="194">
        <v>0.95599999999999996</v>
      </c>
      <c r="V122" s="194">
        <v>45</v>
      </c>
      <c r="W122" s="194">
        <v>0.88400000000000001</v>
      </c>
      <c r="X122" s="194">
        <v>0.90200000000000002</v>
      </c>
      <c r="Y122" s="194">
        <v>51</v>
      </c>
      <c r="Z122" s="194">
        <v>0.82099999999999995</v>
      </c>
      <c r="AA122" s="194">
        <v>0.80400000000000005</v>
      </c>
      <c r="AB122" s="194">
        <v>51</v>
      </c>
      <c r="AC122" s="194">
        <v>0.746</v>
      </c>
      <c r="AD122" s="194">
        <v>0.71899999999999997</v>
      </c>
      <c r="AE122" s="194">
        <v>32</v>
      </c>
      <c r="AF122" s="194">
        <v>0.76200000000000001</v>
      </c>
      <c r="AG122" s="194">
        <v>0.67700000000000005</v>
      </c>
      <c r="AH122" s="194">
        <v>31</v>
      </c>
      <c r="AI122" s="194">
        <v>0.78100000000000003</v>
      </c>
      <c r="AJ122" s="194">
        <v>0.85699999999999998</v>
      </c>
      <c r="AK122" s="194">
        <v>42</v>
      </c>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row>
    <row r="123" spans="1:61" x14ac:dyDescent="0.3">
      <c r="A123" s="193" t="s">
        <v>534</v>
      </c>
      <c r="B123" s="194">
        <v>0.92400000000000004</v>
      </c>
      <c r="C123" s="194">
        <v>0.91300000000000003</v>
      </c>
      <c r="D123" s="194">
        <v>46</v>
      </c>
      <c r="E123" s="194">
        <v>0.93300000000000005</v>
      </c>
      <c r="F123" s="194">
        <v>0.93500000000000005</v>
      </c>
      <c r="G123" s="194">
        <v>46</v>
      </c>
      <c r="H123" s="194">
        <v>0.93799999999999994</v>
      </c>
      <c r="I123" s="194">
        <v>0.95299999999999996</v>
      </c>
      <c r="J123" s="194">
        <v>43</v>
      </c>
      <c r="K123" s="194">
        <v>0.92900000000000005</v>
      </c>
      <c r="L123" s="194">
        <v>0.91300000000000003</v>
      </c>
      <c r="M123" s="194">
        <v>23</v>
      </c>
      <c r="N123" s="194">
        <v>0.90600000000000003</v>
      </c>
      <c r="O123" s="194">
        <v>0.91500000000000004</v>
      </c>
      <c r="P123" s="194">
        <v>47</v>
      </c>
      <c r="Q123" s="194">
        <v>0.88500000000000001</v>
      </c>
      <c r="R123" s="194">
        <v>0.89400000000000002</v>
      </c>
      <c r="S123" s="194">
        <v>47</v>
      </c>
      <c r="T123" s="194">
        <v>0.87</v>
      </c>
      <c r="U123" s="194">
        <v>0.85199999999999998</v>
      </c>
      <c r="V123" s="194">
        <v>54</v>
      </c>
      <c r="W123" s="194">
        <v>0.80200000000000005</v>
      </c>
      <c r="X123" s="194">
        <v>0.86699999999999999</v>
      </c>
      <c r="Y123" s="194">
        <v>45</v>
      </c>
      <c r="Z123" s="194">
        <v>0.71199999999999997</v>
      </c>
      <c r="AA123" s="194">
        <v>0.625</v>
      </c>
      <c r="AB123" s="194">
        <v>32</v>
      </c>
      <c r="AC123" s="194">
        <v>0.67700000000000005</v>
      </c>
      <c r="AD123" s="194">
        <v>0.625</v>
      </c>
      <c r="AE123" s="194">
        <v>48</v>
      </c>
      <c r="AF123" s="194">
        <v>0.72299999999999998</v>
      </c>
      <c r="AG123" s="194">
        <v>0.76</v>
      </c>
      <c r="AH123" s="194">
        <v>50</v>
      </c>
      <c r="AI123" s="194">
        <v>0.77500000000000002</v>
      </c>
      <c r="AJ123" s="194">
        <v>0.79500000000000004</v>
      </c>
      <c r="AK123" s="194">
        <v>39</v>
      </c>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row>
    <row r="124" spans="1:61" x14ac:dyDescent="0.3">
      <c r="A124" s="193"/>
      <c r="B124" s="194"/>
      <c r="C124" s="194"/>
      <c r="D124" s="194"/>
      <c r="E124" s="194"/>
      <c r="F124" s="194"/>
      <c r="G124" s="194"/>
      <c r="H124" s="194"/>
      <c r="I124" s="194"/>
      <c r="J124" s="194"/>
      <c r="K124" s="194"/>
      <c r="L124" s="194"/>
      <c r="M124" s="194"/>
      <c r="N124" s="194"/>
      <c r="O124" s="194"/>
      <c r="P124" s="194"/>
      <c r="Q124" s="194"/>
      <c r="R124" s="194"/>
      <c r="S124" s="194"/>
      <c r="T124" s="194"/>
      <c r="U124" s="194"/>
      <c r="V124" s="194"/>
      <c r="W124" s="194"/>
      <c r="X124" s="194"/>
      <c r="Y124" s="194"/>
      <c r="Z124" s="194"/>
      <c r="AA124" s="194"/>
      <c r="AB124" s="194"/>
      <c r="AC124" s="194"/>
      <c r="AD124" s="194"/>
      <c r="AE124" s="194"/>
      <c r="AF124" s="194"/>
      <c r="AG124" s="194"/>
      <c r="AH124" s="194"/>
      <c r="AI124" s="194"/>
      <c r="AJ124" s="194"/>
      <c r="AK124" s="19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71743-39C5-4E43-AEDB-3570BB6A12A1}">
  <sheetPr>
    <tabColor rgb="FFFFFF00"/>
  </sheetPr>
  <dimension ref="A1:C14"/>
  <sheetViews>
    <sheetView workbookViewId="0">
      <selection activeCell="C9" sqref="C9"/>
    </sheetView>
  </sheetViews>
  <sheetFormatPr defaultRowHeight="14.4" x14ac:dyDescent="0.3"/>
  <cols>
    <col min="1" max="1" width="10" customWidth="1"/>
    <col min="2" max="2" width="161.109375" customWidth="1"/>
    <col min="3" max="3" width="10.44140625" bestFit="1" customWidth="1"/>
  </cols>
  <sheetData>
    <row r="1" spans="1:3" x14ac:dyDescent="0.3">
      <c r="A1" t="s">
        <v>555</v>
      </c>
      <c r="B1" t="s">
        <v>556</v>
      </c>
      <c r="C1" t="s">
        <v>557</v>
      </c>
    </row>
    <row r="2" spans="1:3" ht="28.8" x14ac:dyDescent="0.3">
      <c r="A2" t="s">
        <v>558</v>
      </c>
      <c r="B2" s="5" t="s">
        <v>559</v>
      </c>
      <c r="C2" t="s">
        <v>560</v>
      </c>
    </row>
    <row r="3" spans="1:3" x14ac:dyDescent="0.3">
      <c r="A3" t="s">
        <v>561</v>
      </c>
      <c r="B3" t="s">
        <v>562</v>
      </c>
      <c r="C3" t="s">
        <v>560</v>
      </c>
    </row>
    <row r="4" spans="1:3" x14ac:dyDescent="0.3">
      <c r="A4" t="s">
        <v>563</v>
      </c>
      <c r="B4" t="s">
        <v>564</v>
      </c>
      <c r="C4" t="s">
        <v>560</v>
      </c>
    </row>
    <row r="5" spans="1:3" ht="43.2" x14ac:dyDescent="0.3">
      <c r="A5" t="s">
        <v>565</v>
      </c>
      <c r="B5" s="5" t="s">
        <v>566</v>
      </c>
      <c r="C5" t="s">
        <v>560</v>
      </c>
    </row>
    <row r="6" spans="1:3" x14ac:dyDescent="0.3">
      <c r="A6" t="s">
        <v>567</v>
      </c>
      <c r="B6" t="s">
        <v>568</v>
      </c>
      <c r="C6" t="s">
        <v>560</v>
      </c>
    </row>
    <row r="7" spans="1:3" ht="129.6" x14ac:dyDescent="0.3">
      <c r="A7" t="s">
        <v>569</v>
      </c>
      <c r="B7" s="5" t="s">
        <v>570</v>
      </c>
      <c r="C7" t="s">
        <v>560</v>
      </c>
    </row>
    <row r="8" spans="1:3" ht="28.8" x14ac:dyDescent="0.3">
      <c r="A8" t="s">
        <v>571</v>
      </c>
      <c r="B8" s="5" t="s">
        <v>572</v>
      </c>
      <c r="C8" t="s">
        <v>560</v>
      </c>
    </row>
    <row r="9" spans="1:3" x14ac:dyDescent="0.3">
      <c r="A9" t="s">
        <v>573</v>
      </c>
      <c r="B9" t="s">
        <v>574</v>
      </c>
      <c r="C9" t="s">
        <v>560</v>
      </c>
    </row>
    <row r="11" spans="1:3" x14ac:dyDescent="0.3">
      <c r="A11" t="s">
        <v>575</v>
      </c>
    </row>
    <row r="12" spans="1:3" x14ac:dyDescent="0.3">
      <c r="A12" t="s">
        <v>576</v>
      </c>
    </row>
    <row r="13" spans="1:3" x14ac:dyDescent="0.3">
      <c r="A13" t="s">
        <v>577</v>
      </c>
    </row>
    <row r="14" spans="1:3" x14ac:dyDescent="0.3">
      <c r="A14" t="s">
        <v>578</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B80ED-B755-48FB-A23A-DC8748BD3F46}">
  <sheetPr>
    <tabColor rgb="FFFFFF00"/>
  </sheetPr>
  <dimension ref="A1:C12"/>
  <sheetViews>
    <sheetView workbookViewId="0">
      <selection activeCell="D20" sqref="D20"/>
    </sheetView>
  </sheetViews>
  <sheetFormatPr defaultRowHeight="14.4" x14ac:dyDescent="0.3"/>
  <sheetData>
    <row r="1" spans="1:3" x14ac:dyDescent="0.3">
      <c r="B1" t="s">
        <v>579</v>
      </c>
    </row>
    <row r="2" spans="1:3" x14ac:dyDescent="0.3">
      <c r="A2">
        <v>1</v>
      </c>
      <c r="B2" s="114"/>
      <c r="C2" t="s">
        <v>580</v>
      </c>
    </row>
    <row r="3" spans="1:3" x14ac:dyDescent="0.3">
      <c r="A3">
        <v>2</v>
      </c>
      <c r="B3" s="112"/>
      <c r="C3" t="s">
        <v>581</v>
      </c>
    </row>
    <row r="4" spans="1:3" x14ac:dyDescent="0.3">
      <c r="A4">
        <v>3</v>
      </c>
      <c r="B4" s="113"/>
      <c r="C4" t="s">
        <v>582</v>
      </c>
    </row>
    <row r="5" spans="1:3" x14ac:dyDescent="0.3">
      <c r="A5">
        <v>4</v>
      </c>
      <c r="B5" s="115"/>
      <c r="C5" t="s">
        <v>583</v>
      </c>
    </row>
    <row r="6" spans="1:3" x14ac:dyDescent="0.3">
      <c r="A6">
        <v>5</v>
      </c>
      <c r="B6" s="116"/>
      <c r="C6" t="s">
        <v>584</v>
      </c>
    </row>
    <row r="7" spans="1:3" x14ac:dyDescent="0.3">
      <c r="A7">
        <v>6</v>
      </c>
      <c r="B7" s="3"/>
      <c r="C7" t="s">
        <v>585</v>
      </c>
    </row>
    <row r="9" spans="1:3" x14ac:dyDescent="0.3">
      <c r="B9" t="s">
        <v>586</v>
      </c>
    </row>
    <row r="10" spans="1:3" x14ac:dyDescent="0.3">
      <c r="B10" t="s">
        <v>587</v>
      </c>
    </row>
    <row r="11" spans="1:3" x14ac:dyDescent="0.3">
      <c r="B11" t="s">
        <v>588</v>
      </c>
    </row>
    <row r="12" spans="1:3" x14ac:dyDescent="0.3">
      <c r="B12" s="176" t="s">
        <v>589</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A1AE2-1B64-4F4F-8A8F-5B5A6407E2B2}">
  <sheetPr>
    <tabColor theme="5" tint="0.79998168889431442"/>
  </sheetPr>
  <dimension ref="A1"/>
  <sheetViews>
    <sheetView workbookViewId="0">
      <selection activeCell="A13" sqref="A13"/>
    </sheetView>
  </sheetViews>
  <sheetFormatPr defaultRowHeight="14.4" x14ac:dyDescent="0.3"/>
  <cols>
    <col min="1" max="1" width="61" bestFit="1" customWidth="1"/>
    <col min="2" max="2" width="10.44140625" bestFit="1" customWidth="1"/>
    <col min="3" max="3" width="41.44140625" bestFit="1" customWidth="1"/>
    <col min="4" max="4" width="13.33203125" bestFit="1" customWidth="1"/>
  </cols>
  <sheetData/>
  <sortState xmlns:xlrd2="http://schemas.microsoft.com/office/spreadsheetml/2017/richdata2" ref="A2:D127">
    <sortCondition ref="A2:A127"/>
  </sortState>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79998168889431442"/>
    <pageSetUpPr autoPageBreaks="0"/>
  </sheetPr>
  <dimension ref="A28"/>
  <sheetViews>
    <sheetView workbookViewId="0">
      <selection sqref="A1:B27"/>
    </sheetView>
  </sheetViews>
  <sheetFormatPr defaultRowHeight="14.4" x14ac:dyDescent="0.3"/>
  <cols>
    <col min="1" max="1" width="39.5546875" bestFit="1" customWidth="1"/>
    <col min="2" max="2" width="18.5546875" bestFit="1" customWidth="1"/>
  </cols>
  <sheetData>
    <row r="28" spans="1:1" x14ac:dyDescent="0.3">
      <c r="A28" s="12"/>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F5BA9-846C-4027-9A3A-B470E1C3223C}">
  <sheetPr>
    <tabColor theme="9" tint="0.79998168889431442"/>
  </sheetPr>
  <dimension ref="A1:BI124"/>
  <sheetViews>
    <sheetView zoomScaleNormal="100" workbookViewId="0">
      <pane xSplit="1" ySplit="1" topLeftCell="B2" activePane="bottomRight" state="frozen"/>
      <selection pane="topRight" activeCell="B1" sqref="B1"/>
      <selection pane="bottomLeft" activeCell="A2" sqref="A2"/>
      <selection pane="bottomRight" sqref="A1:AK123"/>
    </sheetView>
  </sheetViews>
  <sheetFormatPr defaultRowHeight="14.4" x14ac:dyDescent="0.3"/>
  <cols>
    <col min="2" max="5" width="8.6640625" style="120"/>
    <col min="10" max="10" width="10.5546875" customWidth="1"/>
    <col min="13" max="13" width="10.109375" customWidth="1"/>
    <col min="16" max="16" width="10.44140625" customWidth="1"/>
    <col min="19" max="19" width="11.33203125" customWidth="1"/>
    <col min="22" max="22" width="10.88671875" customWidth="1"/>
    <col min="25" max="25" width="11.33203125" customWidth="1"/>
    <col min="28" max="28" width="10.88671875" customWidth="1"/>
    <col min="31" max="31" width="11.33203125" customWidth="1"/>
    <col min="34" max="34" width="11.109375" customWidth="1"/>
    <col min="37" max="37" width="11" customWidth="1"/>
  </cols>
  <sheetData>
    <row r="1" spans="1:61" x14ac:dyDescent="0.3">
      <c r="A1" s="193" t="s">
        <v>259</v>
      </c>
      <c r="B1" s="193" t="s">
        <v>138</v>
      </c>
      <c r="C1" s="193" t="s">
        <v>125</v>
      </c>
      <c r="D1" s="193" t="s">
        <v>112</v>
      </c>
      <c r="E1" s="193" t="s">
        <v>139</v>
      </c>
      <c r="F1" s="193" t="s">
        <v>126</v>
      </c>
      <c r="G1" s="193" t="s">
        <v>113</v>
      </c>
      <c r="H1" s="193" t="s">
        <v>140</v>
      </c>
      <c r="I1" s="193" t="s">
        <v>127</v>
      </c>
      <c r="J1" s="193" t="s">
        <v>114</v>
      </c>
      <c r="K1" s="193" t="s">
        <v>141</v>
      </c>
      <c r="L1" s="193" t="s">
        <v>128</v>
      </c>
      <c r="M1" s="193" t="s">
        <v>115</v>
      </c>
      <c r="N1" s="193" t="s">
        <v>142</v>
      </c>
      <c r="O1" s="193" t="s">
        <v>129</v>
      </c>
      <c r="P1" s="193" t="s">
        <v>116</v>
      </c>
      <c r="Q1" s="193" t="s">
        <v>143</v>
      </c>
      <c r="R1" s="193" t="s">
        <v>130</v>
      </c>
      <c r="S1" s="193" t="s">
        <v>117</v>
      </c>
      <c r="T1" s="193" t="s">
        <v>144</v>
      </c>
      <c r="U1" s="193" t="s">
        <v>131</v>
      </c>
      <c r="V1" s="193" t="s">
        <v>118</v>
      </c>
      <c r="W1" s="193" t="s">
        <v>145</v>
      </c>
      <c r="X1" s="193" t="s">
        <v>132</v>
      </c>
      <c r="Y1" s="193" t="s">
        <v>119</v>
      </c>
      <c r="Z1" s="193" t="s">
        <v>146</v>
      </c>
      <c r="AA1" s="193" t="s">
        <v>133</v>
      </c>
      <c r="AB1" s="193" t="s">
        <v>120</v>
      </c>
      <c r="AC1" s="193" t="s">
        <v>147</v>
      </c>
      <c r="AD1" s="193" t="s">
        <v>134</v>
      </c>
      <c r="AE1" s="193" t="s">
        <v>121</v>
      </c>
      <c r="AF1" s="193" t="s">
        <v>148</v>
      </c>
      <c r="AG1" s="193" t="s">
        <v>135</v>
      </c>
      <c r="AH1" s="193" t="s">
        <v>122</v>
      </c>
      <c r="AI1" s="193" t="s">
        <v>149</v>
      </c>
      <c r="AJ1" s="193" t="s">
        <v>136</v>
      </c>
      <c r="AK1" s="193" t="s">
        <v>123</v>
      </c>
      <c r="AL1" s="55"/>
      <c r="AM1" s="55"/>
      <c r="AN1" s="55"/>
      <c r="AO1" s="55"/>
      <c r="AP1" s="55"/>
      <c r="AQ1" s="55"/>
      <c r="AR1" s="55"/>
      <c r="AS1" s="55"/>
      <c r="AT1" s="55"/>
      <c r="AU1" s="55"/>
      <c r="AV1" s="55"/>
      <c r="AW1" s="55"/>
      <c r="AX1" s="55"/>
      <c r="AY1" s="55"/>
      <c r="AZ1" s="55"/>
      <c r="BA1" s="55"/>
      <c r="BB1" s="55"/>
      <c r="BC1" s="55"/>
      <c r="BD1" s="55"/>
      <c r="BE1" s="55"/>
      <c r="BF1" s="55"/>
      <c r="BG1" s="55"/>
      <c r="BH1" s="55"/>
      <c r="BI1" s="55"/>
    </row>
    <row r="2" spans="1:61" x14ac:dyDescent="0.3">
      <c r="A2" s="193" t="s">
        <v>685</v>
      </c>
      <c r="B2" s="194">
        <v>0.877</v>
      </c>
      <c r="C2" s="194">
        <v>0.872</v>
      </c>
      <c r="D2" s="194">
        <v>1090</v>
      </c>
      <c r="E2" s="194">
        <v>0.879</v>
      </c>
      <c r="F2" s="194">
        <v>0.88300000000000001</v>
      </c>
      <c r="G2" s="194">
        <v>1067</v>
      </c>
      <c r="H2" s="194">
        <v>0.88200000000000001</v>
      </c>
      <c r="I2" s="194">
        <v>0.88400000000000001</v>
      </c>
      <c r="J2" s="194">
        <v>1075</v>
      </c>
      <c r="K2" s="194">
        <v>0.88100000000000001</v>
      </c>
      <c r="L2" s="194">
        <v>0.88</v>
      </c>
      <c r="M2" s="194">
        <v>1053</v>
      </c>
      <c r="N2" s="194">
        <v>0.88500000000000001</v>
      </c>
      <c r="O2" s="194">
        <v>0.88</v>
      </c>
      <c r="P2" s="194">
        <v>1060</v>
      </c>
      <c r="Q2" s="194">
        <v>0.88600000000000001</v>
      </c>
      <c r="R2" s="194">
        <v>0.89400000000000002</v>
      </c>
      <c r="S2" s="194">
        <v>1069</v>
      </c>
      <c r="T2" s="194">
        <v>0.89300000000000002</v>
      </c>
      <c r="U2" s="194">
        <v>0.88200000000000001</v>
      </c>
      <c r="V2" s="194">
        <v>1155</v>
      </c>
      <c r="W2" s="194">
        <v>0.90100000000000002</v>
      </c>
      <c r="X2" s="194">
        <v>0.90400000000000003</v>
      </c>
      <c r="Y2" s="194">
        <v>1122</v>
      </c>
      <c r="Z2" s="194">
        <v>0.90900000000000003</v>
      </c>
      <c r="AA2" s="194">
        <v>0.91600000000000004</v>
      </c>
      <c r="AB2" s="194">
        <v>1169</v>
      </c>
      <c r="AC2" s="194">
        <v>0.90800000000000003</v>
      </c>
      <c r="AD2" s="194">
        <v>0.90700000000000003</v>
      </c>
      <c r="AE2" s="194">
        <v>1264</v>
      </c>
      <c r="AF2" s="194">
        <v>0.90200000000000002</v>
      </c>
      <c r="AG2" s="194">
        <v>0.90100000000000002</v>
      </c>
      <c r="AH2" s="194">
        <v>1358</v>
      </c>
      <c r="AI2" s="194">
        <v>0.89900000000000002</v>
      </c>
      <c r="AJ2" s="194">
        <v>0.89700000000000002</v>
      </c>
      <c r="AK2" s="194">
        <v>1283</v>
      </c>
      <c r="AL2" s="55"/>
      <c r="AM2" s="55"/>
      <c r="AN2" s="55"/>
      <c r="AO2" s="55"/>
      <c r="AP2" s="55"/>
      <c r="AQ2" s="55"/>
      <c r="AR2" s="55"/>
      <c r="AS2" s="55"/>
      <c r="AT2" s="55"/>
      <c r="AU2" s="55"/>
      <c r="AV2" s="55"/>
      <c r="AW2" s="55"/>
      <c r="AX2" s="55"/>
      <c r="AY2" s="55"/>
      <c r="AZ2" s="55"/>
      <c r="BA2" s="55"/>
      <c r="BB2" s="55"/>
      <c r="BC2" s="55"/>
      <c r="BD2" s="55"/>
      <c r="BE2" s="55"/>
      <c r="BF2" s="55"/>
      <c r="BG2" s="55"/>
      <c r="BH2" s="55"/>
      <c r="BI2" s="55"/>
    </row>
    <row r="3" spans="1:61" x14ac:dyDescent="0.3">
      <c r="A3" s="193" t="s">
        <v>402</v>
      </c>
      <c r="B3" s="194">
        <v>0.90500000000000003</v>
      </c>
      <c r="C3" s="194">
        <v>0.81799999999999995</v>
      </c>
      <c r="D3" s="194">
        <v>11</v>
      </c>
      <c r="E3" s="194">
        <v>0.94099999999999995</v>
      </c>
      <c r="F3" s="194">
        <v>1</v>
      </c>
      <c r="G3" s="194">
        <v>10</v>
      </c>
      <c r="H3" s="194">
        <v>0.96699999999999997</v>
      </c>
      <c r="I3" s="194">
        <v>1</v>
      </c>
      <c r="J3" s="194">
        <v>13</v>
      </c>
      <c r="K3" s="194">
        <v>0.90900000000000003</v>
      </c>
      <c r="L3" s="194">
        <v>0.85699999999999998</v>
      </c>
      <c r="M3" s="194">
        <v>7</v>
      </c>
      <c r="N3" s="194">
        <v>0.9</v>
      </c>
      <c r="O3" s="194">
        <v>0.875</v>
      </c>
      <c r="P3" s="194">
        <v>24</v>
      </c>
      <c r="Q3" s="194">
        <v>0.86499999999999999</v>
      </c>
      <c r="R3" s="194">
        <v>1</v>
      </c>
      <c r="S3" s="194">
        <v>9</v>
      </c>
      <c r="T3" s="194">
        <v>0.73299999999999998</v>
      </c>
      <c r="U3" s="194">
        <v>0.5</v>
      </c>
      <c r="V3" s="194">
        <v>4</v>
      </c>
      <c r="W3" s="194">
        <v>0.3</v>
      </c>
      <c r="X3" s="194">
        <v>0</v>
      </c>
      <c r="Y3" s="194">
        <v>2</v>
      </c>
      <c r="Z3" s="194">
        <v>0.2</v>
      </c>
      <c r="AA3" s="194">
        <v>0.25</v>
      </c>
      <c r="AB3" s="194">
        <v>4</v>
      </c>
      <c r="AC3" s="194">
        <v>0.308</v>
      </c>
      <c r="AD3" s="194">
        <v>0.25</v>
      </c>
      <c r="AE3" s="194">
        <v>4</v>
      </c>
      <c r="AF3" s="194">
        <v>0.35699999999999998</v>
      </c>
      <c r="AG3" s="194">
        <v>0.4</v>
      </c>
      <c r="AH3" s="194">
        <v>5</v>
      </c>
      <c r="AI3" s="194">
        <v>0.4</v>
      </c>
      <c r="AJ3" s="194">
        <v>0.4</v>
      </c>
      <c r="AK3" s="194">
        <v>5</v>
      </c>
      <c r="AL3" s="55"/>
      <c r="AM3" s="55"/>
      <c r="AN3" s="55"/>
      <c r="AO3" s="55"/>
      <c r="AP3" s="55"/>
      <c r="AQ3" s="55"/>
      <c r="AR3" s="55"/>
      <c r="AS3" s="55"/>
      <c r="AT3" s="55"/>
      <c r="AU3" s="55"/>
      <c r="AV3" s="55"/>
      <c r="AW3" s="55"/>
      <c r="AX3" s="55"/>
      <c r="AY3" s="55"/>
      <c r="AZ3" s="55"/>
      <c r="BA3" s="55"/>
      <c r="BB3" s="55"/>
      <c r="BC3" s="55"/>
      <c r="BD3" s="55"/>
      <c r="BE3" s="55"/>
      <c r="BF3" s="55"/>
      <c r="BG3" s="55"/>
      <c r="BH3" s="55"/>
      <c r="BI3" s="55"/>
    </row>
    <row r="4" spans="1:61" x14ac:dyDescent="0.3">
      <c r="A4" s="193" t="s">
        <v>472</v>
      </c>
      <c r="B4" s="194">
        <v>0.879</v>
      </c>
      <c r="C4" s="194">
        <v>0.86699999999999999</v>
      </c>
      <c r="D4" s="194">
        <v>15</v>
      </c>
      <c r="E4" s="194">
        <v>0.90500000000000003</v>
      </c>
      <c r="F4" s="194">
        <v>0.88900000000000001</v>
      </c>
      <c r="G4" s="194">
        <v>18</v>
      </c>
      <c r="H4" s="194">
        <v>0.94899999999999995</v>
      </c>
      <c r="I4" s="194">
        <v>1</v>
      </c>
      <c r="J4" s="194">
        <v>9</v>
      </c>
      <c r="K4" s="194">
        <v>1</v>
      </c>
      <c r="L4" s="194">
        <v>1</v>
      </c>
      <c r="M4" s="194">
        <v>12</v>
      </c>
      <c r="N4" s="194">
        <v>0.98</v>
      </c>
      <c r="O4" s="194">
        <v>1</v>
      </c>
      <c r="P4" s="194">
        <v>17</v>
      </c>
      <c r="Q4" s="194">
        <v>0.96699999999999997</v>
      </c>
      <c r="R4" s="194">
        <v>0.95199999999999996</v>
      </c>
      <c r="S4" s="194">
        <v>21</v>
      </c>
      <c r="T4" s="194">
        <v>0.97099999999999997</v>
      </c>
      <c r="U4" s="194">
        <v>0.95499999999999996</v>
      </c>
      <c r="V4" s="194">
        <v>22</v>
      </c>
      <c r="W4" s="194">
        <v>0.95399999999999996</v>
      </c>
      <c r="X4" s="194">
        <v>1</v>
      </c>
      <c r="Y4" s="194">
        <v>25</v>
      </c>
      <c r="Z4" s="194">
        <v>0.94499999999999995</v>
      </c>
      <c r="AA4" s="194">
        <v>0.88900000000000001</v>
      </c>
      <c r="AB4" s="194">
        <v>18</v>
      </c>
      <c r="AC4" s="194">
        <v>0.9</v>
      </c>
      <c r="AD4" s="194">
        <v>0.93300000000000005</v>
      </c>
      <c r="AE4" s="194">
        <v>30</v>
      </c>
      <c r="AF4" s="194">
        <v>0.91</v>
      </c>
      <c r="AG4" s="194">
        <v>0.875</v>
      </c>
      <c r="AH4" s="194">
        <v>32</v>
      </c>
      <c r="AI4" s="194">
        <v>0.89800000000000002</v>
      </c>
      <c r="AJ4" s="194">
        <v>0.92600000000000005</v>
      </c>
      <c r="AK4" s="194">
        <v>27</v>
      </c>
      <c r="AL4" s="55"/>
      <c r="AM4" s="55"/>
      <c r="AN4" s="55"/>
      <c r="AO4" s="55"/>
      <c r="AP4" s="55"/>
      <c r="AQ4" s="55"/>
      <c r="AR4" s="55"/>
      <c r="AS4" s="55"/>
      <c r="AT4" s="55"/>
      <c r="AU4" s="55"/>
      <c r="AV4" s="55"/>
      <c r="AW4" s="55"/>
      <c r="AX4" s="55"/>
      <c r="AY4" s="55"/>
      <c r="AZ4" s="55"/>
      <c r="BA4" s="55"/>
      <c r="BB4" s="55"/>
      <c r="BC4" s="55"/>
      <c r="BD4" s="55"/>
      <c r="BE4" s="55"/>
      <c r="BF4" s="55"/>
      <c r="BG4" s="55"/>
      <c r="BH4" s="55"/>
      <c r="BI4" s="55"/>
    </row>
    <row r="5" spans="1:61" x14ac:dyDescent="0.3">
      <c r="A5" s="193" t="s">
        <v>524</v>
      </c>
      <c r="B5" s="194">
        <v>0.85699999999999998</v>
      </c>
      <c r="C5" s="194">
        <v>0.93300000000000005</v>
      </c>
      <c r="D5" s="194">
        <v>15</v>
      </c>
      <c r="E5" s="194">
        <v>0.84599999999999997</v>
      </c>
      <c r="F5" s="194">
        <v>0.76900000000000002</v>
      </c>
      <c r="G5" s="194">
        <v>13</v>
      </c>
      <c r="H5" s="194">
        <v>0.86699999999999999</v>
      </c>
      <c r="I5" s="194">
        <v>0.81799999999999995</v>
      </c>
      <c r="J5" s="194">
        <v>11</v>
      </c>
      <c r="K5" s="194">
        <v>0.90900000000000003</v>
      </c>
      <c r="L5" s="194">
        <v>0.95199999999999996</v>
      </c>
      <c r="M5" s="194">
        <v>21</v>
      </c>
      <c r="N5" s="194">
        <v>0.95799999999999996</v>
      </c>
      <c r="O5" s="194">
        <v>0.91700000000000004</v>
      </c>
      <c r="P5" s="194">
        <v>12</v>
      </c>
      <c r="Q5" s="194">
        <v>0.95299999999999996</v>
      </c>
      <c r="R5" s="194">
        <v>1</v>
      </c>
      <c r="S5" s="194">
        <v>15</v>
      </c>
      <c r="T5" s="194">
        <v>0.94299999999999995</v>
      </c>
      <c r="U5" s="194">
        <v>0.93799999999999994</v>
      </c>
      <c r="V5" s="194">
        <v>16</v>
      </c>
      <c r="W5" s="194">
        <v>0.94399999999999995</v>
      </c>
      <c r="X5" s="194">
        <v>0.90900000000000003</v>
      </c>
      <c r="Y5" s="194">
        <v>22</v>
      </c>
      <c r="Z5" s="194">
        <v>0.91100000000000003</v>
      </c>
      <c r="AA5" s="194">
        <v>1</v>
      </c>
      <c r="AB5" s="194">
        <v>16</v>
      </c>
      <c r="AC5" s="194">
        <v>0.9</v>
      </c>
      <c r="AD5" s="194">
        <v>0.83299999999999996</v>
      </c>
      <c r="AE5" s="194">
        <v>18</v>
      </c>
      <c r="AF5" s="194">
        <v>0.86399999999999999</v>
      </c>
      <c r="AG5" s="194">
        <v>0.875</v>
      </c>
      <c r="AH5" s="194">
        <v>16</v>
      </c>
      <c r="AI5" s="194">
        <v>0.878</v>
      </c>
      <c r="AJ5" s="194">
        <v>0.88</v>
      </c>
      <c r="AK5" s="194">
        <v>25</v>
      </c>
      <c r="AL5" s="55"/>
      <c r="AM5" s="55"/>
      <c r="AN5" s="55"/>
      <c r="AO5" s="55"/>
      <c r="AP5" s="55"/>
      <c r="AQ5" s="55"/>
      <c r="AR5" s="55"/>
      <c r="AS5" s="55"/>
      <c r="AT5" s="55"/>
      <c r="AU5" s="55"/>
      <c r="AV5" s="55"/>
      <c r="AW5" s="55"/>
      <c r="AX5" s="55"/>
      <c r="AY5" s="55"/>
      <c r="AZ5" s="55"/>
      <c r="BA5" s="55"/>
      <c r="BB5" s="55"/>
      <c r="BC5" s="55"/>
      <c r="BD5" s="55"/>
      <c r="BE5" s="55"/>
      <c r="BF5" s="55"/>
      <c r="BG5" s="55"/>
      <c r="BH5" s="55"/>
      <c r="BI5" s="55"/>
    </row>
    <row r="6" spans="1:61" x14ac:dyDescent="0.3">
      <c r="A6" s="193" t="s">
        <v>378</v>
      </c>
      <c r="B6" s="194">
        <v>1</v>
      </c>
      <c r="C6" s="194">
        <v>1</v>
      </c>
      <c r="D6" s="194">
        <v>1</v>
      </c>
      <c r="E6" s="194">
        <v>1</v>
      </c>
      <c r="F6" s="194">
        <v>1</v>
      </c>
      <c r="G6" s="194">
        <v>3</v>
      </c>
      <c r="H6" s="194">
        <v>1</v>
      </c>
      <c r="I6" s="194">
        <v>1</v>
      </c>
      <c r="J6" s="194">
        <v>2</v>
      </c>
      <c r="K6" s="194">
        <v>1</v>
      </c>
      <c r="L6" s="194">
        <v>1</v>
      </c>
      <c r="M6" s="194">
        <v>3</v>
      </c>
      <c r="N6" s="194">
        <v>1</v>
      </c>
      <c r="O6" s="194">
        <v>1</v>
      </c>
      <c r="P6" s="194">
        <v>2</v>
      </c>
      <c r="Q6" s="194">
        <v>0.9</v>
      </c>
      <c r="R6" s="194">
        <v>1</v>
      </c>
      <c r="S6" s="194">
        <v>3</v>
      </c>
      <c r="T6" s="194">
        <v>0.9</v>
      </c>
      <c r="U6" s="194">
        <v>0.8</v>
      </c>
      <c r="V6" s="194">
        <v>5</v>
      </c>
      <c r="W6" s="194">
        <v>0.88900000000000001</v>
      </c>
      <c r="X6" s="194">
        <v>1</v>
      </c>
      <c r="Y6" s="194">
        <v>2</v>
      </c>
      <c r="Z6" s="194">
        <v>1</v>
      </c>
      <c r="AA6" s="194">
        <v>1</v>
      </c>
      <c r="AB6" s="194">
        <v>2</v>
      </c>
      <c r="AC6" s="194">
        <v>1</v>
      </c>
      <c r="AD6" s="194">
        <v>1</v>
      </c>
      <c r="AE6" s="194">
        <v>3</v>
      </c>
      <c r="AF6" s="194">
        <v>1</v>
      </c>
      <c r="AG6" s="194"/>
      <c r="AH6" s="194"/>
      <c r="AI6" s="194">
        <v>1</v>
      </c>
      <c r="AJ6" s="194">
        <v>1</v>
      </c>
      <c r="AK6" s="194">
        <v>4</v>
      </c>
      <c r="AL6" s="55"/>
      <c r="AM6" s="55"/>
      <c r="AN6" s="55"/>
      <c r="AO6" s="55"/>
      <c r="AP6" s="55"/>
      <c r="AQ6" s="55"/>
      <c r="AR6" s="55"/>
      <c r="AS6" s="55"/>
      <c r="AT6" s="55"/>
      <c r="AU6" s="55"/>
      <c r="AV6" s="55"/>
      <c r="AW6" s="55"/>
      <c r="AX6" s="55"/>
      <c r="AY6" s="55"/>
      <c r="AZ6" s="55"/>
      <c r="BA6" s="55"/>
      <c r="BB6" s="55"/>
      <c r="BC6" s="55"/>
      <c r="BD6" s="55"/>
      <c r="BE6" s="55"/>
      <c r="BF6" s="55"/>
      <c r="BG6" s="55"/>
      <c r="BH6" s="55"/>
      <c r="BI6" s="55"/>
    </row>
    <row r="7" spans="1:61" x14ac:dyDescent="0.3">
      <c r="A7" s="193" t="s">
        <v>281</v>
      </c>
      <c r="B7" s="194">
        <v>0.6</v>
      </c>
      <c r="C7" s="194">
        <v>0.5</v>
      </c>
      <c r="D7" s="194">
        <v>2</v>
      </c>
      <c r="E7" s="194">
        <v>0.68799999999999994</v>
      </c>
      <c r="F7" s="194">
        <v>0.66700000000000004</v>
      </c>
      <c r="G7" s="194">
        <v>3</v>
      </c>
      <c r="H7" s="194">
        <v>0.60899999999999999</v>
      </c>
      <c r="I7" s="194">
        <v>0.72699999999999998</v>
      </c>
      <c r="J7" s="194">
        <v>11</v>
      </c>
      <c r="K7" s="194">
        <v>0.59099999999999997</v>
      </c>
      <c r="L7" s="194">
        <v>0.44400000000000001</v>
      </c>
      <c r="M7" s="194">
        <v>9</v>
      </c>
      <c r="N7" s="194">
        <v>0.5</v>
      </c>
      <c r="O7" s="194">
        <v>0.5</v>
      </c>
      <c r="P7" s="194">
        <v>2</v>
      </c>
      <c r="Q7" s="194">
        <v>0.9</v>
      </c>
      <c r="R7" s="194">
        <v>1</v>
      </c>
      <c r="S7" s="194">
        <v>1</v>
      </c>
      <c r="T7" s="194">
        <v>0.94399999999999995</v>
      </c>
      <c r="U7" s="194">
        <v>1</v>
      </c>
      <c r="V7" s="194">
        <v>7</v>
      </c>
      <c r="W7" s="194">
        <v>0.91700000000000004</v>
      </c>
      <c r="X7" s="194">
        <v>0.9</v>
      </c>
      <c r="Y7" s="194">
        <v>10</v>
      </c>
      <c r="Z7" s="194">
        <v>0.80800000000000005</v>
      </c>
      <c r="AA7" s="194">
        <v>0.85699999999999998</v>
      </c>
      <c r="AB7" s="194">
        <v>7</v>
      </c>
      <c r="AC7" s="194">
        <v>0.68200000000000005</v>
      </c>
      <c r="AD7" s="194">
        <v>0.66700000000000004</v>
      </c>
      <c r="AE7" s="194">
        <v>9</v>
      </c>
      <c r="AF7" s="194">
        <v>0.64700000000000002</v>
      </c>
      <c r="AG7" s="194">
        <v>0.5</v>
      </c>
      <c r="AH7" s="194">
        <v>6</v>
      </c>
      <c r="AI7" s="194">
        <v>0.625</v>
      </c>
      <c r="AJ7" s="194">
        <v>1</v>
      </c>
      <c r="AK7" s="194">
        <v>2</v>
      </c>
      <c r="AL7" s="55"/>
      <c r="AM7" s="55"/>
      <c r="AN7" s="55"/>
      <c r="AO7" s="55"/>
      <c r="AP7" s="55"/>
      <c r="AQ7" s="55"/>
      <c r="AR7" s="55"/>
      <c r="AS7" s="55"/>
      <c r="AT7" s="55"/>
      <c r="AU7" s="55"/>
      <c r="AV7" s="55"/>
      <c r="AW7" s="55"/>
      <c r="AX7" s="55"/>
      <c r="AY7" s="55"/>
      <c r="AZ7" s="55"/>
      <c r="BA7" s="55"/>
      <c r="BB7" s="55"/>
      <c r="BC7" s="55"/>
      <c r="BD7" s="55"/>
      <c r="BE7" s="55"/>
      <c r="BF7" s="55"/>
      <c r="BG7" s="55"/>
      <c r="BH7" s="55"/>
      <c r="BI7" s="55"/>
    </row>
    <row r="8" spans="1:61" x14ac:dyDescent="0.3">
      <c r="A8" s="193" t="s">
        <v>398</v>
      </c>
      <c r="B8" s="194">
        <v>0.69199999999999995</v>
      </c>
      <c r="C8" s="194">
        <v>0.64300000000000002</v>
      </c>
      <c r="D8" s="194">
        <v>14</v>
      </c>
      <c r="E8" s="194">
        <v>0.629</v>
      </c>
      <c r="F8" s="194">
        <v>0.75</v>
      </c>
      <c r="G8" s="194">
        <v>12</v>
      </c>
      <c r="H8" s="194">
        <v>0.53800000000000003</v>
      </c>
      <c r="I8" s="194">
        <v>0.44400000000000001</v>
      </c>
      <c r="J8" s="194">
        <v>9</v>
      </c>
      <c r="K8" s="194">
        <v>0.42099999999999999</v>
      </c>
      <c r="L8" s="194">
        <v>0.2</v>
      </c>
      <c r="M8" s="194">
        <v>5</v>
      </c>
      <c r="N8" s="194">
        <v>0.308</v>
      </c>
      <c r="O8" s="194">
        <v>0.6</v>
      </c>
      <c r="P8" s="194">
        <v>5</v>
      </c>
      <c r="Q8" s="194">
        <v>0.35699999999999998</v>
      </c>
      <c r="R8" s="194">
        <v>0</v>
      </c>
      <c r="S8" s="194">
        <v>3</v>
      </c>
      <c r="T8" s="194">
        <v>0.4</v>
      </c>
      <c r="U8" s="194">
        <v>0.33300000000000002</v>
      </c>
      <c r="V8" s="194">
        <v>6</v>
      </c>
      <c r="W8" s="194">
        <v>0.68400000000000005</v>
      </c>
      <c r="X8" s="194">
        <v>0.66700000000000004</v>
      </c>
      <c r="Y8" s="194">
        <v>6</v>
      </c>
      <c r="Z8" s="194">
        <v>0.76</v>
      </c>
      <c r="AA8" s="194">
        <v>1</v>
      </c>
      <c r="AB8" s="194">
        <v>7</v>
      </c>
      <c r="AC8" s="194">
        <v>0.82799999999999996</v>
      </c>
      <c r="AD8" s="194">
        <v>0.66700000000000004</v>
      </c>
      <c r="AE8" s="194">
        <v>12</v>
      </c>
      <c r="AF8" s="194">
        <v>0.70599999999999996</v>
      </c>
      <c r="AG8" s="194">
        <v>0.9</v>
      </c>
      <c r="AH8" s="194">
        <v>10</v>
      </c>
      <c r="AI8" s="194">
        <v>0.72699999999999998</v>
      </c>
      <c r="AJ8" s="194">
        <v>0.58299999999999996</v>
      </c>
      <c r="AK8" s="194">
        <v>12</v>
      </c>
      <c r="AL8" s="55"/>
      <c r="AM8" s="55"/>
      <c r="AN8" s="55"/>
      <c r="AO8" s="55"/>
      <c r="AP8" s="55"/>
      <c r="AQ8" s="55"/>
      <c r="AR8" s="55"/>
      <c r="AS8" s="55"/>
      <c r="AT8" s="55"/>
      <c r="AU8" s="55"/>
      <c r="AV8" s="55"/>
      <c r="AW8" s="55"/>
      <c r="AX8" s="55"/>
      <c r="AY8" s="55"/>
      <c r="AZ8" s="55"/>
      <c r="BA8" s="55"/>
      <c r="BB8" s="55"/>
      <c r="BC8" s="55"/>
      <c r="BD8" s="55"/>
      <c r="BE8" s="55"/>
      <c r="BF8" s="55"/>
      <c r="BG8" s="55"/>
      <c r="BH8" s="55"/>
      <c r="BI8" s="55"/>
    </row>
    <row r="9" spans="1:61" x14ac:dyDescent="0.3">
      <c r="A9" s="193" t="s">
        <v>452</v>
      </c>
      <c r="B9" s="194">
        <v>0.83299999999999996</v>
      </c>
      <c r="C9" s="194">
        <v>0.83299999999999996</v>
      </c>
      <c r="D9" s="194">
        <v>6</v>
      </c>
      <c r="E9" s="194">
        <v>0.78600000000000003</v>
      </c>
      <c r="F9" s="194">
        <v>0.83299999999999996</v>
      </c>
      <c r="G9" s="194">
        <v>6</v>
      </c>
      <c r="H9" s="194">
        <v>0.85699999999999998</v>
      </c>
      <c r="I9" s="194">
        <v>0.5</v>
      </c>
      <c r="J9" s="194">
        <v>2</v>
      </c>
      <c r="K9" s="194">
        <v>0.9</v>
      </c>
      <c r="L9" s="194">
        <v>1</v>
      </c>
      <c r="M9" s="194">
        <v>6</v>
      </c>
      <c r="N9" s="194">
        <v>1</v>
      </c>
      <c r="O9" s="194">
        <v>1</v>
      </c>
      <c r="P9" s="194">
        <v>2</v>
      </c>
      <c r="Q9" s="194">
        <v>1</v>
      </c>
      <c r="R9" s="194">
        <v>1</v>
      </c>
      <c r="S9" s="194">
        <v>12</v>
      </c>
      <c r="T9" s="194">
        <v>0.96299999999999997</v>
      </c>
      <c r="U9" s="194">
        <v>1</v>
      </c>
      <c r="V9" s="194">
        <v>7</v>
      </c>
      <c r="W9" s="194">
        <v>0.91300000000000003</v>
      </c>
      <c r="X9" s="194">
        <v>0.875</v>
      </c>
      <c r="Y9" s="194">
        <v>8</v>
      </c>
      <c r="Z9" s="194">
        <v>0.90900000000000003</v>
      </c>
      <c r="AA9" s="194">
        <v>0.875</v>
      </c>
      <c r="AB9" s="194">
        <v>8</v>
      </c>
      <c r="AC9" s="194">
        <v>0.95699999999999996</v>
      </c>
      <c r="AD9" s="194">
        <v>1</v>
      </c>
      <c r="AE9" s="194">
        <v>6</v>
      </c>
      <c r="AF9" s="194">
        <v>1</v>
      </c>
      <c r="AG9" s="194">
        <v>1</v>
      </c>
      <c r="AH9" s="194">
        <v>9</v>
      </c>
      <c r="AI9" s="194">
        <v>1</v>
      </c>
      <c r="AJ9" s="194">
        <v>1</v>
      </c>
      <c r="AK9" s="194">
        <v>3</v>
      </c>
      <c r="AL9" s="55"/>
      <c r="AM9" s="55"/>
      <c r="AN9" s="55"/>
      <c r="AO9" s="55"/>
      <c r="AP9" s="55"/>
      <c r="AQ9" s="55"/>
      <c r="AR9" s="55"/>
      <c r="AS9" s="55"/>
      <c r="AT9" s="55"/>
      <c r="AU9" s="55"/>
      <c r="AV9" s="55"/>
      <c r="AW9" s="55"/>
      <c r="AX9" s="55"/>
      <c r="AY9" s="55"/>
      <c r="AZ9" s="55"/>
      <c r="BA9" s="55"/>
      <c r="BB9" s="55"/>
      <c r="BC9" s="55"/>
      <c r="BD9" s="55"/>
      <c r="BE9" s="55"/>
      <c r="BF9" s="55"/>
      <c r="BG9" s="55"/>
      <c r="BH9" s="55"/>
      <c r="BI9" s="55"/>
    </row>
    <row r="10" spans="1:61" x14ac:dyDescent="0.3">
      <c r="A10" s="193" t="s">
        <v>520</v>
      </c>
      <c r="B10" s="194">
        <v>1</v>
      </c>
      <c r="C10" s="194">
        <v>1</v>
      </c>
      <c r="D10" s="194">
        <v>1</v>
      </c>
      <c r="E10" s="194">
        <v>0.75</v>
      </c>
      <c r="F10" s="194">
        <v>1</v>
      </c>
      <c r="G10" s="194">
        <v>2</v>
      </c>
      <c r="H10" s="194">
        <v>0.66700000000000004</v>
      </c>
      <c r="I10" s="194">
        <v>0</v>
      </c>
      <c r="J10" s="194">
        <v>1</v>
      </c>
      <c r="K10" s="194">
        <v>0</v>
      </c>
      <c r="L10" s="194"/>
      <c r="M10" s="194"/>
      <c r="N10" s="194">
        <v>0</v>
      </c>
      <c r="O10" s="194">
        <v>0</v>
      </c>
      <c r="P10" s="194">
        <v>1</v>
      </c>
      <c r="Q10" s="194">
        <v>0.75</v>
      </c>
      <c r="R10" s="194"/>
      <c r="S10" s="194"/>
      <c r="T10" s="194">
        <v>1</v>
      </c>
      <c r="U10" s="194">
        <v>1</v>
      </c>
      <c r="V10" s="194">
        <v>3</v>
      </c>
      <c r="W10" s="194">
        <v>1</v>
      </c>
      <c r="X10" s="194"/>
      <c r="Y10" s="194"/>
      <c r="Z10" s="194">
        <v>1</v>
      </c>
      <c r="AA10" s="194">
        <v>1</v>
      </c>
      <c r="AB10" s="194">
        <v>1</v>
      </c>
      <c r="AC10" s="194">
        <v>1</v>
      </c>
      <c r="AD10" s="194"/>
      <c r="AE10" s="194"/>
      <c r="AF10" s="194">
        <v>1</v>
      </c>
      <c r="AG10" s="194">
        <v>1</v>
      </c>
      <c r="AH10" s="194">
        <v>1</v>
      </c>
      <c r="AI10" s="194">
        <v>1</v>
      </c>
      <c r="AJ10" s="194"/>
      <c r="AK10" s="194"/>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row>
    <row r="11" spans="1:61" x14ac:dyDescent="0.3">
      <c r="A11" s="193" t="s">
        <v>510</v>
      </c>
      <c r="B11" s="194">
        <v>1</v>
      </c>
      <c r="C11" s="194">
        <v>1</v>
      </c>
      <c r="D11" s="194">
        <v>8</v>
      </c>
      <c r="E11" s="194">
        <v>1</v>
      </c>
      <c r="F11" s="194">
        <v>1</v>
      </c>
      <c r="G11" s="194">
        <v>10</v>
      </c>
      <c r="H11" s="194">
        <v>1</v>
      </c>
      <c r="I11" s="194">
        <v>1</v>
      </c>
      <c r="J11" s="194">
        <v>10</v>
      </c>
      <c r="K11" s="194">
        <v>1</v>
      </c>
      <c r="L11" s="194">
        <v>1</v>
      </c>
      <c r="M11" s="194">
        <v>8</v>
      </c>
      <c r="N11" s="194">
        <v>1</v>
      </c>
      <c r="O11" s="194">
        <v>1</v>
      </c>
      <c r="P11" s="194">
        <v>12</v>
      </c>
      <c r="Q11" s="194">
        <v>1</v>
      </c>
      <c r="R11" s="194">
        <v>1</v>
      </c>
      <c r="S11" s="194">
        <v>4</v>
      </c>
      <c r="T11" s="194">
        <v>1</v>
      </c>
      <c r="U11" s="194">
        <v>1</v>
      </c>
      <c r="V11" s="194">
        <v>9</v>
      </c>
      <c r="W11" s="194">
        <v>1</v>
      </c>
      <c r="X11" s="194">
        <v>1</v>
      </c>
      <c r="Y11" s="194">
        <v>8</v>
      </c>
      <c r="Z11" s="194">
        <v>1</v>
      </c>
      <c r="AA11" s="194">
        <v>1</v>
      </c>
      <c r="AB11" s="194">
        <v>8</v>
      </c>
      <c r="AC11" s="194">
        <v>0.92300000000000004</v>
      </c>
      <c r="AD11" s="194">
        <v>1</v>
      </c>
      <c r="AE11" s="194">
        <v>8</v>
      </c>
      <c r="AF11" s="194">
        <v>0.91300000000000003</v>
      </c>
      <c r="AG11" s="194">
        <v>0.8</v>
      </c>
      <c r="AH11" s="194">
        <v>10</v>
      </c>
      <c r="AI11" s="194">
        <v>0.86699999999999999</v>
      </c>
      <c r="AJ11" s="194">
        <v>1</v>
      </c>
      <c r="AK11" s="194">
        <v>5</v>
      </c>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row>
    <row r="12" spans="1:61" x14ac:dyDescent="0.3">
      <c r="A12" s="193" t="s">
        <v>296</v>
      </c>
      <c r="B12" s="194">
        <v>1</v>
      </c>
      <c r="C12" s="194">
        <v>1</v>
      </c>
      <c r="D12" s="194">
        <v>7</v>
      </c>
      <c r="E12" s="194">
        <v>1</v>
      </c>
      <c r="F12" s="194">
        <v>1</v>
      </c>
      <c r="G12" s="194">
        <v>10</v>
      </c>
      <c r="H12" s="194">
        <v>1</v>
      </c>
      <c r="I12" s="194">
        <v>1</v>
      </c>
      <c r="J12" s="194">
        <v>12</v>
      </c>
      <c r="K12" s="194">
        <v>1</v>
      </c>
      <c r="L12" s="194">
        <v>1</v>
      </c>
      <c r="M12" s="194">
        <v>8</v>
      </c>
      <c r="N12" s="194">
        <v>1</v>
      </c>
      <c r="O12" s="194">
        <v>1</v>
      </c>
      <c r="P12" s="194">
        <v>11</v>
      </c>
      <c r="Q12" s="194">
        <v>1</v>
      </c>
      <c r="R12" s="194">
        <v>1</v>
      </c>
      <c r="S12" s="194">
        <v>14</v>
      </c>
      <c r="T12" s="194">
        <v>1</v>
      </c>
      <c r="U12" s="194">
        <v>1</v>
      </c>
      <c r="V12" s="194">
        <v>8</v>
      </c>
      <c r="W12" s="194">
        <v>1</v>
      </c>
      <c r="X12" s="194">
        <v>1</v>
      </c>
      <c r="Y12" s="194">
        <v>11</v>
      </c>
      <c r="Z12" s="194">
        <v>1</v>
      </c>
      <c r="AA12" s="194">
        <v>1</v>
      </c>
      <c r="AB12" s="194">
        <v>18</v>
      </c>
      <c r="AC12" s="194">
        <v>1</v>
      </c>
      <c r="AD12" s="194">
        <v>1</v>
      </c>
      <c r="AE12" s="194">
        <v>11</v>
      </c>
      <c r="AF12" s="194">
        <v>1</v>
      </c>
      <c r="AG12" s="194">
        <v>1</v>
      </c>
      <c r="AH12" s="194">
        <v>11</v>
      </c>
      <c r="AI12" s="194">
        <v>1</v>
      </c>
      <c r="AJ12" s="194">
        <v>1</v>
      </c>
      <c r="AK12" s="194">
        <v>9</v>
      </c>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row>
    <row r="13" spans="1:61" x14ac:dyDescent="0.3">
      <c r="A13" s="193" t="s">
        <v>406</v>
      </c>
      <c r="B13" s="194">
        <v>0.98299999999999998</v>
      </c>
      <c r="C13" s="194">
        <v>1</v>
      </c>
      <c r="D13" s="194">
        <v>31</v>
      </c>
      <c r="E13" s="194">
        <v>0.93100000000000005</v>
      </c>
      <c r="F13" s="194">
        <v>0.96299999999999997</v>
      </c>
      <c r="G13" s="194">
        <v>27</v>
      </c>
      <c r="H13" s="194">
        <v>0.91</v>
      </c>
      <c r="I13" s="194">
        <v>0.82799999999999996</v>
      </c>
      <c r="J13" s="194">
        <v>29</v>
      </c>
      <c r="K13" s="194">
        <v>0.88200000000000001</v>
      </c>
      <c r="L13" s="194">
        <v>0.93899999999999995</v>
      </c>
      <c r="M13" s="194">
        <v>33</v>
      </c>
      <c r="N13" s="194">
        <v>0.91600000000000004</v>
      </c>
      <c r="O13" s="194">
        <v>0.87</v>
      </c>
      <c r="P13" s="194">
        <v>23</v>
      </c>
      <c r="Q13" s="194">
        <v>0.91200000000000003</v>
      </c>
      <c r="R13" s="194">
        <v>0.92600000000000005</v>
      </c>
      <c r="S13" s="194">
        <v>27</v>
      </c>
      <c r="T13" s="194">
        <v>0.91100000000000003</v>
      </c>
      <c r="U13" s="194">
        <v>0.94399999999999995</v>
      </c>
      <c r="V13" s="194">
        <v>18</v>
      </c>
      <c r="W13" s="194">
        <v>0.90500000000000003</v>
      </c>
      <c r="X13" s="194">
        <v>0.88200000000000001</v>
      </c>
      <c r="Y13" s="194">
        <v>34</v>
      </c>
      <c r="Z13" s="194">
        <v>0.90100000000000002</v>
      </c>
      <c r="AA13" s="194">
        <v>0.90600000000000003</v>
      </c>
      <c r="AB13" s="194">
        <v>32</v>
      </c>
      <c r="AC13" s="194">
        <v>0.81100000000000005</v>
      </c>
      <c r="AD13" s="194">
        <v>0.91400000000000003</v>
      </c>
      <c r="AE13" s="194">
        <v>35</v>
      </c>
      <c r="AF13" s="194">
        <v>0.74199999999999999</v>
      </c>
      <c r="AG13" s="194">
        <v>0.69099999999999995</v>
      </c>
      <c r="AH13" s="194">
        <v>55</v>
      </c>
      <c r="AI13" s="194">
        <v>0.67100000000000004</v>
      </c>
      <c r="AJ13" s="194">
        <v>0.63300000000000001</v>
      </c>
      <c r="AK13" s="194">
        <v>30</v>
      </c>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row>
    <row r="14" spans="1:61" x14ac:dyDescent="0.3">
      <c r="A14" s="193" t="s">
        <v>450</v>
      </c>
      <c r="B14" s="194">
        <v>0.53200000000000003</v>
      </c>
      <c r="C14" s="194">
        <v>0.55600000000000005</v>
      </c>
      <c r="D14" s="194">
        <v>27</v>
      </c>
      <c r="E14" s="194">
        <v>0.53900000000000003</v>
      </c>
      <c r="F14" s="194">
        <v>0.5</v>
      </c>
      <c r="G14" s="194">
        <v>20</v>
      </c>
      <c r="H14" s="194">
        <v>0.54500000000000004</v>
      </c>
      <c r="I14" s="194">
        <v>0.55200000000000005</v>
      </c>
      <c r="J14" s="194">
        <v>29</v>
      </c>
      <c r="K14" s="194">
        <v>0.47699999999999998</v>
      </c>
      <c r="L14" s="194">
        <v>0.57099999999999995</v>
      </c>
      <c r="M14" s="194">
        <v>28</v>
      </c>
      <c r="N14" s="194">
        <v>0.51900000000000002</v>
      </c>
      <c r="O14" s="194">
        <v>0.31</v>
      </c>
      <c r="P14" s="194">
        <v>29</v>
      </c>
      <c r="Q14" s="194">
        <v>0.61499999999999999</v>
      </c>
      <c r="R14" s="194">
        <v>0.72699999999999998</v>
      </c>
      <c r="S14" s="194">
        <v>22</v>
      </c>
      <c r="T14" s="194">
        <v>0.85699999999999998</v>
      </c>
      <c r="U14" s="194">
        <v>0.85199999999999998</v>
      </c>
      <c r="V14" s="194">
        <v>27</v>
      </c>
      <c r="W14" s="194">
        <v>0.92300000000000004</v>
      </c>
      <c r="X14" s="194">
        <v>0.94299999999999995</v>
      </c>
      <c r="Y14" s="194">
        <v>35</v>
      </c>
      <c r="Z14" s="194">
        <v>0.96699999999999997</v>
      </c>
      <c r="AA14" s="194">
        <v>0.95199999999999996</v>
      </c>
      <c r="AB14" s="194">
        <v>42</v>
      </c>
      <c r="AC14" s="194">
        <v>0.96399999999999997</v>
      </c>
      <c r="AD14" s="194">
        <v>1</v>
      </c>
      <c r="AE14" s="194">
        <v>46</v>
      </c>
      <c r="AF14" s="194">
        <v>0.97099999999999997</v>
      </c>
      <c r="AG14" s="194">
        <v>0.94</v>
      </c>
      <c r="AH14" s="194">
        <v>50</v>
      </c>
      <c r="AI14" s="194">
        <v>0.95699999999999996</v>
      </c>
      <c r="AJ14" s="194">
        <v>0.97599999999999998</v>
      </c>
      <c r="AK14" s="194">
        <v>42</v>
      </c>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row>
    <row r="15" spans="1:61" x14ac:dyDescent="0.3">
      <c r="A15" s="193" t="s">
        <v>420</v>
      </c>
      <c r="B15" s="194">
        <v>1</v>
      </c>
      <c r="C15" s="194">
        <v>1</v>
      </c>
      <c r="D15" s="194">
        <v>1</v>
      </c>
      <c r="E15" s="194">
        <v>0.5</v>
      </c>
      <c r="F15" s="194"/>
      <c r="G15" s="194"/>
      <c r="H15" s="194">
        <v>0.33300000000000002</v>
      </c>
      <c r="I15" s="194">
        <v>0</v>
      </c>
      <c r="J15" s="194">
        <v>1</v>
      </c>
      <c r="K15" s="194">
        <v>0.33300000000000002</v>
      </c>
      <c r="L15" s="194">
        <v>0.5</v>
      </c>
      <c r="M15" s="194">
        <v>2</v>
      </c>
      <c r="N15" s="194">
        <v>0.6</v>
      </c>
      <c r="O15" s="194"/>
      <c r="P15" s="194"/>
      <c r="Q15" s="194">
        <v>0.66700000000000004</v>
      </c>
      <c r="R15" s="194">
        <v>0.66700000000000004</v>
      </c>
      <c r="S15" s="194">
        <v>3</v>
      </c>
      <c r="T15" s="194">
        <v>0.5</v>
      </c>
      <c r="U15" s="194"/>
      <c r="V15" s="194"/>
      <c r="W15" s="194">
        <v>0.5</v>
      </c>
      <c r="X15" s="194">
        <v>0</v>
      </c>
      <c r="Y15" s="194">
        <v>1</v>
      </c>
      <c r="Z15" s="194">
        <v>0.8</v>
      </c>
      <c r="AA15" s="194">
        <v>1</v>
      </c>
      <c r="AB15" s="194">
        <v>1</v>
      </c>
      <c r="AC15" s="194">
        <v>1</v>
      </c>
      <c r="AD15" s="194">
        <v>1</v>
      </c>
      <c r="AE15" s="194">
        <v>3</v>
      </c>
      <c r="AF15" s="194">
        <v>1</v>
      </c>
      <c r="AG15" s="194">
        <v>1</v>
      </c>
      <c r="AH15" s="194">
        <v>5</v>
      </c>
      <c r="AI15" s="194">
        <v>1</v>
      </c>
      <c r="AJ15" s="194">
        <v>1</v>
      </c>
      <c r="AK15" s="194">
        <v>1</v>
      </c>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row>
    <row r="16" spans="1:61" x14ac:dyDescent="0.3">
      <c r="A16" s="193" t="s">
        <v>494</v>
      </c>
      <c r="B16" s="194">
        <v>0.5</v>
      </c>
      <c r="C16" s="194">
        <v>0.33300000000000002</v>
      </c>
      <c r="D16" s="194">
        <v>3</v>
      </c>
      <c r="E16" s="194">
        <v>0.5</v>
      </c>
      <c r="F16" s="194">
        <v>0.66700000000000004</v>
      </c>
      <c r="G16" s="194">
        <v>3</v>
      </c>
      <c r="H16" s="194">
        <v>0.5</v>
      </c>
      <c r="I16" s="194">
        <v>0.5</v>
      </c>
      <c r="J16" s="194">
        <v>2</v>
      </c>
      <c r="K16" s="194">
        <v>0.33300000000000002</v>
      </c>
      <c r="L16" s="194">
        <v>0</v>
      </c>
      <c r="M16" s="194">
        <v>1</v>
      </c>
      <c r="N16" s="194">
        <v>0.33300000000000002</v>
      </c>
      <c r="O16" s="194">
        <v>0.33300000000000002</v>
      </c>
      <c r="P16" s="194">
        <v>3</v>
      </c>
      <c r="Q16" s="194">
        <v>0.42899999999999999</v>
      </c>
      <c r="R16" s="194">
        <v>0.5</v>
      </c>
      <c r="S16" s="194">
        <v>2</v>
      </c>
      <c r="T16" s="194">
        <v>0.33300000000000002</v>
      </c>
      <c r="U16" s="194">
        <v>0.5</v>
      </c>
      <c r="V16" s="194">
        <v>2</v>
      </c>
      <c r="W16" s="194">
        <v>0.28599999999999998</v>
      </c>
      <c r="X16" s="194">
        <v>0.2</v>
      </c>
      <c r="Y16" s="194">
        <v>5</v>
      </c>
      <c r="Z16" s="194">
        <v>0.4</v>
      </c>
      <c r="AA16" s="194"/>
      <c r="AB16" s="194"/>
      <c r="AC16" s="194">
        <v>0.44400000000000001</v>
      </c>
      <c r="AD16" s="194">
        <v>0.6</v>
      </c>
      <c r="AE16" s="194">
        <v>5</v>
      </c>
      <c r="AF16" s="194">
        <v>0.54500000000000004</v>
      </c>
      <c r="AG16" s="194">
        <v>0.25</v>
      </c>
      <c r="AH16" s="194">
        <v>4</v>
      </c>
      <c r="AI16" s="194">
        <v>0.5</v>
      </c>
      <c r="AJ16" s="194">
        <v>1</v>
      </c>
      <c r="AK16" s="194">
        <v>2</v>
      </c>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row>
    <row r="17" spans="1:61" x14ac:dyDescent="0.3">
      <c r="A17" s="193" t="s">
        <v>386</v>
      </c>
      <c r="B17" s="194">
        <v>1</v>
      </c>
      <c r="C17" s="194">
        <v>1</v>
      </c>
      <c r="D17" s="194">
        <v>4</v>
      </c>
      <c r="E17" s="194">
        <v>1</v>
      </c>
      <c r="F17" s="194">
        <v>1</v>
      </c>
      <c r="G17" s="194">
        <v>7</v>
      </c>
      <c r="H17" s="194">
        <v>1</v>
      </c>
      <c r="I17" s="194">
        <v>1</v>
      </c>
      <c r="J17" s="194">
        <v>4</v>
      </c>
      <c r="K17" s="194">
        <v>1</v>
      </c>
      <c r="L17" s="194">
        <v>1</v>
      </c>
      <c r="M17" s="194">
        <v>5</v>
      </c>
      <c r="N17" s="194">
        <v>1</v>
      </c>
      <c r="O17" s="194">
        <v>1</v>
      </c>
      <c r="P17" s="194">
        <v>9</v>
      </c>
      <c r="Q17" s="194">
        <v>1</v>
      </c>
      <c r="R17" s="194">
        <v>1</v>
      </c>
      <c r="S17" s="194">
        <v>5</v>
      </c>
      <c r="T17" s="194">
        <v>1</v>
      </c>
      <c r="U17" s="194">
        <v>1</v>
      </c>
      <c r="V17" s="194">
        <v>9</v>
      </c>
      <c r="W17" s="194">
        <v>1</v>
      </c>
      <c r="X17" s="194">
        <v>1</v>
      </c>
      <c r="Y17" s="194">
        <v>8</v>
      </c>
      <c r="Z17" s="194">
        <v>1</v>
      </c>
      <c r="AA17" s="194">
        <v>1</v>
      </c>
      <c r="AB17" s="194">
        <v>12</v>
      </c>
      <c r="AC17" s="194">
        <v>1</v>
      </c>
      <c r="AD17" s="194">
        <v>1</v>
      </c>
      <c r="AE17" s="194">
        <v>13</v>
      </c>
      <c r="AF17" s="194">
        <v>0.97</v>
      </c>
      <c r="AG17" s="194">
        <v>1</v>
      </c>
      <c r="AH17" s="194">
        <v>7</v>
      </c>
      <c r="AI17" s="194">
        <v>0.95</v>
      </c>
      <c r="AJ17" s="194">
        <v>0.92300000000000004</v>
      </c>
      <c r="AK17" s="194">
        <v>13</v>
      </c>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row>
    <row r="18" spans="1:61" x14ac:dyDescent="0.3">
      <c r="A18" s="193" t="s">
        <v>333</v>
      </c>
      <c r="B18" s="194">
        <v>0.85699999999999998</v>
      </c>
      <c r="C18" s="194">
        <v>1</v>
      </c>
      <c r="D18" s="194">
        <v>9</v>
      </c>
      <c r="E18" s="194">
        <v>0.9</v>
      </c>
      <c r="F18" s="194">
        <v>0.6</v>
      </c>
      <c r="G18" s="194">
        <v>5</v>
      </c>
      <c r="H18" s="194">
        <v>0.88900000000000001</v>
      </c>
      <c r="I18" s="194">
        <v>1</v>
      </c>
      <c r="J18" s="194">
        <v>6</v>
      </c>
      <c r="K18" s="194">
        <v>1</v>
      </c>
      <c r="L18" s="194">
        <v>1</v>
      </c>
      <c r="M18" s="194">
        <v>7</v>
      </c>
      <c r="N18" s="194">
        <v>0.95</v>
      </c>
      <c r="O18" s="194">
        <v>1</v>
      </c>
      <c r="P18" s="194">
        <v>7</v>
      </c>
      <c r="Q18" s="194">
        <v>0.91700000000000004</v>
      </c>
      <c r="R18" s="194">
        <v>0.83299999999999996</v>
      </c>
      <c r="S18" s="194">
        <v>6</v>
      </c>
      <c r="T18" s="194">
        <v>0.91700000000000004</v>
      </c>
      <c r="U18" s="194">
        <v>0.90900000000000003</v>
      </c>
      <c r="V18" s="194">
        <v>11</v>
      </c>
      <c r="W18" s="194">
        <v>0.88</v>
      </c>
      <c r="X18" s="194">
        <v>1</v>
      </c>
      <c r="Y18" s="194">
        <v>7</v>
      </c>
      <c r="Z18" s="194">
        <v>0.90900000000000003</v>
      </c>
      <c r="AA18" s="194">
        <v>0.71399999999999997</v>
      </c>
      <c r="AB18" s="194">
        <v>7</v>
      </c>
      <c r="AC18" s="194">
        <v>0.92300000000000004</v>
      </c>
      <c r="AD18" s="194">
        <v>1</v>
      </c>
      <c r="AE18" s="194">
        <v>8</v>
      </c>
      <c r="AF18" s="194">
        <v>1</v>
      </c>
      <c r="AG18" s="194">
        <v>1</v>
      </c>
      <c r="AH18" s="194">
        <v>11</v>
      </c>
      <c r="AI18" s="194">
        <v>1</v>
      </c>
      <c r="AJ18" s="194">
        <v>1</v>
      </c>
      <c r="AK18" s="194">
        <v>7</v>
      </c>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row>
    <row r="19" spans="1:61" x14ac:dyDescent="0.3">
      <c r="A19" s="193" t="s">
        <v>536</v>
      </c>
      <c r="B19" s="194">
        <v>1</v>
      </c>
      <c r="C19" s="194">
        <v>1</v>
      </c>
      <c r="D19" s="194">
        <v>1</v>
      </c>
      <c r="E19" s="194">
        <v>1</v>
      </c>
      <c r="F19" s="194">
        <v>1</v>
      </c>
      <c r="G19" s="194">
        <v>3</v>
      </c>
      <c r="H19" s="194">
        <v>1</v>
      </c>
      <c r="I19" s="194">
        <v>1</v>
      </c>
      <c r="J19" s="194">
        <v>3</v>
      </c>
      <c r="K19" s="194">
        <v>1</v>
      </c>
      <c r="L19" s="194">
        <v>1</v>
      </c>
      <c r="M19" s="194">
        <v>2</v>
      </c>
      <c r="N19" s="194">
        <v>1</v>
      </c>
      <c r="O19" s="194">
        <v>1</v>
      </c>
      <c r="P19" s="194">
        <v>3</v>
      </c>
      <c r="Q19" s="194">
        <v>1</v>
      </c>
      <c r="R19" s="194"/>
      <c r="S19" s="194"/>
      <c r="T19" s="194">
        <v>1</v>
      </c>
      <c r="U19" s="194">
        <v>1</v>
      </c>
      <c r="V19" s="194">
        <v>2</v>
      </c>
      <c r="W19" s="194">
        <v>0.8</v>
      </c>
      <c r="X19" s="194">
        <v>1</v>
      </c>
      <c r="Y19" s="194">
        <v>1</v>
      </c>
      <c r="Z19" s="194">
        <v>0.66700000000000004</v>
      </c>
      <c r="AA19" s="194">
        <v>0.5</v>
      </c>
      <c r="AB19" s="194">
        <v>2</v>
      </c>
      <c r="AC19" s="194">
        <v>0.5</v>
      </c>
      <c r="AD19" s="194"/>
      <c r="AE19" s="194"/>
      <c r="AF19" s="194">
        <v>0</v>
      </c>
      <c r="AG19" s="194"/>
      <c r="AH19" s="194"/>
      <c r="AI19" s="194">
        <v>0</v>
      </c>
      <c r="AJ19" s="194">
        <v>0</v>
      </c>
      <c r="AK19" s="194">
        <v>1</v>
      </c>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row>
    <row r="20" spans="1:61" x14ac:dyDescent="0.3">
      <c r="A20" s="193" t="s">
        <v>544</v>
      </c>
      <c r="B20" s="194">
        <v>1</v>
      </c>
      <c r="C20" s="194">
        <v>1</v>
      </c>
      <c r="D20" s="194">
        <v>3</v>
      </c>
      <c r="E20" s="194">
        <v>1</v>
      </c>
      <c r="F20" s="194">
        <v>1</v>
      </c>
      <c r="G20" s="194">
        <v>9</v>
      </c>
      <c r="H20" s="194">
        <v>1</v>
      </c>
      <c r="I20" s="194">
        <v>1</v>
      </c>
      <c r="J20" s="194">
        <v>8</v>
      </c>
      <c r="K20" s="194">
        <v>1</v>
      </c>
      <c r="L20" s="194">
        <v>1</v>
      </c>
      <c r="M20" s="194">
        <v>9</v>
      </c>
      <c r="N20" s="194">
        <v>1</v>
      </c>
      <c r="O20" s="194">
        <v>1</v>
      </c>
      <c r="P20" s="194">
        <v>12</v>
      </c>
      <c r="Q20" s="194">
        <v>1</v>
      </c>
      <c r="R20" s="194">
        <v>1</v>
      </c>
      <c r="S20" s="194">
        <v>8</v>
      </c>
      <c r="T20" s="194">
        <v>1</v>
      </c>
      <c r="U20" s="194">
        <v>1</v>
      </c>
      <c r="V20" s="194">
        <v>9</v>
      </c>
      <c r="W20" s="194">
        <v>1</v>
      </c>
      <c r="X20" s="194">
        <v>1</v>
      </c>
      <c r="Y20" s="194">
        <v>7</v>
      </c>
      <c r="Z20" s="194">
        <v>1</v>
      </c>
      <c r="AA20" s="194">
        <v>1</v>
      </c>
      <c r="AB20" s="194">
        <v>4</v>
      </c>
      <c r="AC20" s="194">
        <v>1</v>
      </c>
      <c r="AD20" s="194">
        <v>1</v>
      </c>
      <c r="AE20" s="194">
        <v>9</v>
      </c>
      <c r="AF20" s="194">
        <v>1</v>
      </c>
      <c r="AG20" s="194">
        <v>1</v>
      </c>
      <c r="AH20" s="194">
        <v>9</v>
      </c>
      <c r="AI20" s="194">
        <v>1</v>
      </c>
      <c r="AJ20" s="194">
        <v>1</v>
      </c>
      <c r="AK20" s="194">
        <v>7</v>
      </c>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row>
    <row r="21" spans="1:61" x14ac:dyDescent="0.3">
      <c r="A21" s="193" t="s">
        <v>480</v>
      </c>
      <c r="B21" s="194">
        <v>0.94699999999999995</v>
      </c>
      <c r="C21" s="194">
        <v>0.90900000000000003</v>
      </c>
      <c r="D21" s="194">
        <v>11</v>
      </c>
      <c r="E21" s="194">
        <v>0.96</v>
      </c>
      <c r="F21" s="194">
        <v>1</v>
      </c>
      <c r="G21" s="194">
        <v>8</v>
      </c>
      <c r="H21" s="194">
        <v>1</v>
      </c>
      <c r="I21" s="194">
        <v>1</v>
      </c>
      <c r="J21" s="194">
        <v>6</v>
      </c>
      <c r="K21" s="194">
        <v>0.96199999999999997</v>
      </c>
      <c r="L21" s="194">
        <v>1</v>
      </c>
      <c r="M21" s="194">
        <v>8</v>
      </c>
      <c r="N21" s="194">
        <v>0.96899999999999997</v>
      </c>
      <c r="O21" s="194">
        <v>0.91700000000000004</v>
      </c>
      <c r="P21" s="194">
        <v>12</v>
      </c>
      <c r="Q21" s="194">
        <v>0.91200000000000003</v>
      </c>
      <c r="R21" s="194">
        <v>1</v>
      </c>
      <c r="S21" s="194">
        <v>12</v>
      </c>
      <c r="T21" s="194">
        <v>0.93300000000000005</v>
      </c>
      <c r="U21" s="194">
        <v>0.8</v>
      </c>
      <c r="V21" s="194">
        <v>10</v>
      </c>
      <c r="W21" s="194">
        <v>0.90600000000000003</v>
      </c>
      <c r="X21" s="194">
        <v>1</v>
      </c>
      <c r="Y21" s="194">
        <v>8</v>
      </c>
      <c r="Z21" s="194">
        <v>0.96899999999999997</v>
      </c>
      <c r="AA21" s="194">
        <v>0.92900000000000005</v>
      </c>
      <c r="AB21" s="194">
        <v>14</v>
      </c>
      <c r="AC21" s="194">
        <v>0.93899999999999995</v>
      </c>
      <c r="AD21" s="194">
        <v>1</v>
      </c>
      <c r="AE21" s="194">
        <v>10</v>
      </c>
      <c r="AF21" s="194">
        <v>0.90300000000000002</v>
      </c>
      <c r="AG21" s="194">
        <v>0.88900000000000001</v>
      </c>
      <c r="AH21" s="194">
        <v>9</v>
      </c>
      <c r="AI21" s="194">
        <v>0.85699999999999998</v>
      </c>
      <c r="AJ21" s="194">
        <v>0.83299999999999996</v>
      </c>
      <c r="AK21" s="194">
        <v>12</v>
      </c>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row>
    <row r="22" spans="1:61" x14ac:dyDescent="0.3">
      <c r="A22" s="193" t="s">
        <v>408</v>
      </c>
      <c r="B22" s="194">
        <v>0.71399999999999997</v>
      </c>
      <c r="C22" s="194">
        <v>0</v>
      </c>
      <c r="D22" s="194">
        <v>2</v>
      </c>
      <c r="E22" s="194">
        <v>0.75</v>
      </c>
      <c r="F22" s="194">
        <v>1</v>
      </c>
      <c r="G22" s="194">
        <v>5</v>
      </c>
      <c r="H22" s="194">
        <v>0.84599999999999997</v>
      </c>
      <c r="I22" s="194">
        <v>0.8</v>
      </c>
      <c r="J22" s="194">
        <v>5</v>
      </c>
      <c r="K22" s="194">
        <v>0.76500000000000001</v>
      </c>
      <c r="L22" s="194">
        <v>0.66700000000000004</v>
      </c>
      <c r="M22" s="194">
        <v>3</v>
      </c>
      <c r="N22" s="194">
        <v>0.66700000000000004</v>
      </c>
      <c r="O22" s="194">
        <v>0.77800000000000002</v>
      </c>
      <c r="P22" s="194">
        <v>9</v>
      </c>
      <c r="Q22" s="194">
        <v>0.75</v>
      </c>
      <c r="R22" s="194">
        <v>0.33300000000000002</v>
      </c>
      <c r="S22" s="194">
        <v>3</v>
      </c>
      <c r="T22" s="194">
        <v>0.75</v>
      </c>
      <c r="U22" s="194">
        <v>1</v>
      </c>
      <c r="V22" s="194">
        <v>4</v>
      </c>
      <c r="W22" s="194">
        <v>1</v>
      </c>
      <c r="X22" s="194">
        <v>1</v>
      </c>
      <c r="Y22" s="194">
        <v>1</v>
      </c>
      <c r="Z22" s="194">
        <v>1</v>
      </c>
      <c r="AA22" s="194">
        <v>1</v>
      </c>
      <c r="AB22" s="194">
        <v>3</v>
      </c>
      <c r="AC22" s="194">
        <v>1</v>
      </c>
      <c r="AD22" s="194">
        <v>1</v>
      </c>
      <c r="AE22" s="194">
        <v>1</v>
      </c>
      <c r="AF22" s="194">
        <v>1</v>
      </c>
      <c r="AG22" s="194">
        <v>1</v>
      </c>
      <c r="AH22" s="194">
        <v>2</v>
      </c>
      <c r="AI22" s="194">
        <v>1</v>
      </c>
      <c r="AJ22" s="194">
        <v>1</v>
      </c>
      <c r="AK22" s="194">
        <v>8</v>
      </c>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row>
    <row r="23" spans="1:61" x14ac:dyDescent="0.3">
      <c r="A23" s="193" t="s">
        <v>488</v>
      </c>
      <c r="B23" s="194">
        <v>1</v>
      </c>
      <c r="C23" s="194"/>
      <c r="D23" s="194"/>
      <c r="E23" s="194">
        <v>1</v>
      </c>
      <c r="F23" s="194">
        <v>1</v>
      </c>
      <c r="G23" s="194">
        <v>5</v>
      </c>
      <c r="H23" s="194">
        <v>1</v>
      </c>
      <c r="I23" s="194"/>
      <c r="J23" s="194"/>
      <c r="K23" s="194"/>
      <c r="L23" s="194"/>
      <c r="M23" s="194"/>
      <c r="N23" s="194"/>
      <c r="O23" s="194"/>
      <c r="P23" s="194"/>
      <c r="Q23" s="194">
        <v>1</v>
      </c>
      <c r="R23" s="194"/>
      <c r="S23" s="194"/>
      <c r="T23" s="194">
        <v>1</v>
      </c>
      <c r="U23" s="194">
        <v>1</v>
      </c>
      <c r="V23" s="194">
        <v>1</v>
      </c>
      <c r="W23" s="194">
        <v>1</v>
      </c>
      <c r="X23" s="194"/>
      <c r="Y23" s="194"/>
      <c r="Z23" s="194">
        <v>1</v>
      </c>
      <c r="AA23" s="194"/>
      <c r="AB23" s="194"/>
      <c r="AC23" s="194">
        <v>1</v>
      </c>
      <c r="AD23" s="194">
        <v>1</v>
      </c>
      <c r="AE23" s="194">
        <v>1</v>
      </c>
      <c r="AF23" s="194">
        <v>1</v>
      </c>
      <c r="AG23" s="194">
        <v>1</v>
      </c>
      <c r="AH23" s="194">
        <v>1</v>
      </c>
      <c r="AI23" s="194">
        <v>1</v>
      </c>
      <c r="AJ23" s="194"/>
      <c r="AK23" s="194"/>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row>
    <row r="24" spans="1:61" x14ac:dyDescent="0.3">
      <c r="A24" s="193" t="s">
        <v>284</v>
      </c>
      <c r="B24" s="194">
        <v>0.81299999999999994</v>
      </c>
      <c r="C24" s="194">
        <v>1</v>
      </c>
      <c r="D24" s="194">
        <v>9</v>
      </c>
      <c r="E24" s="194">
        <v>0.83299999999999996</v>
      </c>
      <c r="F24" s="194">
        <v>0.57099999999999995</v>
      </c>
      <c r="G24" s="194">
        <v>7</v>
      </c>
      <c r="H24" s="194">
        <v>0.75</v>
      </c>
      <c r="I24" s="194">
        <v>0.875</v>
      </c>
      <c r="J24" s="194">
        <v>8</v>
      </c>
      <c r="K24" s="194">
        <v>0.83899999999999997</v>
      </c>
      <c r="L24" s="194">
        <v>0.77800000000000002</v>
      </c>
      <c r="M24" s="194">
        <v>9</v>
      </c>
      <c r="N24" s="194">
        <v>0.85299999999999998</v>
      </c>
      <c r="O24" s="194">
        <v>0.85699999999999998</v>
      </c>
      <c r="P24" s="194">
        <v>14</v>
      </c>
      <c r="Q24" s="194">
        <v>0.88600000000000001</v>
      </c>
      <c r="R24" s="194">
        <v>0.90900000000000003</v>
      </c>
      <c r="S24" s="194">
        <v>11</v>
      </c>
      <c r="T24" s="194">
        <v>0.84799999999999998</v>
      </c>
      <c r="U24" s="194">
        <v>0.9</v>
      </c>
      <c r="V24" s="194">
        <v>10</v>
      </c>
      <c r="W24" s="194">
        <v>0.88900000000000001</v>
      </c>
      <c r="X24" s="194">
        <v>0.75</v>
      </c>
      <c r="Y24" s="194">
        <v>12</v>
      </c>
      <c r="Z24" s="194">
        <v>0.91700000000000004</v>
      </c>
      <c r="AA24" s="194">
        <v>1</v>
      </c>
      <c r="AB24" s="194">
        <v>14</v>
      </c>
      <c r="AC24" s="194">
        <v>0.96299999999999997</v>
      </c>
      <c r="AD24" s="194">
        <v>0.95499999999999996</v>
      </c>
      <c r="AE24" s="194">
        <v>22</v>
      </c>
      <c r="AF24" s="194">
        <v>0.96699999999999997</v>
      </c>
      <c r="AG24" s="194">
        <v>0.94399999999999995</v>
      </c>
      <c r="AH24" s="194">
        <v>18</v>
      </c>
      <c r="AI24" s="194">
        <v>0.97399999999999998</v>
      </c>
      <c r="AJ24" s="194">
        <v>1</v>
      </c>
      <c r="AK24" s="194">
        <v>20</v>
      </c>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row>
    <row r="25" spans="1:61" x14ac:dyDescent="0.3">
      <c r="A25" s="193" t="s">
        <v>554</v>
      </c>
      <c r="B25" s="194">
        <v>0.88900000000000001</v>
      </c>
      <c r="C25" s="194">
        <v>1</v>
      </c>
      <c r="D25" s="194">
        <v>2</v>
      </c>
      <c r="E25" s="194">
        <v>0.83299999999999996</v>
      </c>
      <c r="F25" s="194">
        <v>0.85699999999999998</v>
      </c>
      <c r="G25" s="194">
        <v>7</v>
      </c>
      <c r="H25" s="194">
        <v>0.76900000000000002</v>
      </c>
      <c r="I25" s="194">
        <v>0.66700000000000004</v>
      </c>
      <c r="J25" s="194">
        <v>3</v>
      </c>
      <c r="K25" s="194">
        <v>0.66700000000000004</v>
      </c>
      <c r="L25" s="194">
        <v>0.66700000000000004</v>
      </c>
      <c r="M25" s="194">
        <v>3</v>
      </c>
      <c r="N25" s="194">
        <v>0.6</v>
      </c>
      <c r="O25" s="194">
        <v>0.66700000000000004</v>
      </c>
      <c r="P25" s="194">
        <v>6</v>
      </c>
      <c r="Q25" s="194">
        <v>0.56299999999999994</v>
      </c>
      <c r="R25" s="194">
        <v>0.5</v>
      </c>
      <c r="S25" s="194">
        <v>6</v>
      </c>
      <c r="T25" s="194">
        <v>0.64300000000000002</v>
      </c>
      <c r="U25" s="194">
        <v>0.5</v>
      </c>
      <c r="V25" s="194">
        <v>4</v>
      </c>
      <c r="W25" s="194">
        <v>0.77800000000000002</v>
      </c>
      <c r="X25" s="194">
        <v>1</v>
      </c>
      <c r="Y25" s="194">
        <v>4</v>
      </c>
      <c r="Z25" s="194">
        <v>1</v>
      </c>
      <c r="AA25" s="194">
        <v>1</v>
      </c>
      <c r="AB25" s="194">
        <v>1</v>
      </c>
      <c r="AC25" s="194">
        <v>1</v>
      </c>
      <c r="AD25" s="194">
        <v>1</v>
      </c>
      <c r="AE25" s="194">
        <v>10</v>
      </c>
      <c r="AF25" s="194">
        <v>1</v>
      </c>
      <c r="AG25" s="194">
        <v>1</v>
      </c>
      <c r="AH25" s="194">
        <v>12</v>
      </c>
      <c r="AI25" s="194">
        <v>1</v>
      </c>
      <c r="AJ25" s="194">
        <v>1</v>
      </c>
      <c r="AK25" s="194">
        <v>2</v>
      </c>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row>
    <row r="26" spans="1:61" x14ac:dyDescent="0.3">
      <c r="A26" s="193" t="s">
        <v>369</v>
      </c>
      <c r="B26" s="194">
        <v>1</v>
      </c>
      <c r="C26" s="194">
        <v>1</v>
      </c>
      <c r="D26" s="194">
        <v>5</v>
      </c>
      <c r="E26" s="194">
        <v>1</v>
      </c>
      <c r="F26" s="194"/>
      <c r="G26" s="194"/>
      <c r="H26" s="194">
        <v>1</v>
      </c>
      <c r="I26" s="194">
        <v>1</v>
      </c>
      <c r="J26" s="194">
        <v>2</v>
      </c>
      <c r="K26" s="194">
        <v>1</v>
      </c>
      <c r="L26" s="194">
        <v>1</v>
      </c>
      <c r="M26" s="194">
        <v>3</v>
      </c>
      <c r="N26" s="194">
        <v>1</v>
      </c>
      <c r="O26" s="194">
        <v>1</v>
      </c>
      <c r="P26" s="194">
        <v>4</v>
      </c>
      <c r="Q26" s="194">
        <v>1</v>
      </c>
      <c r="R26" s="194">
        <v>1</v>
      </c>
      <c r="S26" s="194">
        <v>3</v>
      </c>
      <c r="T26" s="194">
        <v>1</v>
      </c>
      <c r="U26" s="194">
        <v>1</v>
      </c>
      <c r="V26" s="194">
        <v>2</v>
      </c>
      <c r="W26" s="194">
        <v>1</v>
      </c>
      <c r="X26" s="194">
        <v>1</v>
      </c>
      <c r="Y26" s="194">
        <v>7</v>
      </c>
      <c r="Z26" s="194">
        <v>1</v>
      </c>
      <c r="AA26" s="194">
        <v>1</v>
      </c>
      <c r="AB26" s="194">
        <v>2</v>
      </c>
      <c r="AC26" s="194">
        <v>1</v>
      </c>
      <c r="AD26" s="194">
        <v>1</v>
      </c>
      <c r="AE26" s="194">
        <v>5</v>
      </c>
      <c r="AF26" s="194">
        <v>1</v>
      </c>
      <c r="AG26" s="194">
        <v>1</v>
      </c>
      <c r="AH26" s="194">
        <v>2</v>
      </c>
      <c r="AI26" s="194">
        <v>1</v>
      </c>
      <c r="AJ26" s="194">
        <v>1</v>
      </c>
      <c r="AK26" s="194">
        <v>1</v>
      </c>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row>
    <row r="27" spans="1:61" x14ac:dyDescent="0.3">
      <c r="A27" s="193" t="s">
        <v>262</v>
      </c>
      <c r="B27" s="194">
        <v>1</v>
      </c>
      <c r="C27" s="194">
        <v>1</v>
      </c>
      <c r="D27" s="194">
        <v>6</v>
      </c>
      <c r="E27" s="194">
        <v>1</v>
      </c>
      <c r="F27" s="194">
        <v>1</v>
      </c>
      <c r="G27" s="194">
        <v>6</v>
      </c>
      <c r="H27" s="194">
        <v>1</v>
      </c>
      <c r="I27" s="194">
        <v>1</v>
      </c>
      <c r="J27" s="194">
        <v>2</v>
      </c>
      <c r="K27" s="194">
        <v>1</v>
      </c>
      <c r="L27" s="194">
        <v>1</v>
      </c>
      <c r="M27" s="194">
        <v>4</v>
      </c>
      <c r="N27" s="194">
        <v>1</v>
      </c>
      <c r="O27" s="194">
        <v>1</v>
      </c>
      <c r="P27" s="194">
        <v>7</v>
      </c>
      <c r="Q27" s="194">
        <v>1</v>
      </c>
      <c r="R27" s="194">
        <v>1</v>
      </c>
      <c r="S27" s="194">
        <v>7</v>
      </c>
      <c r="T27" s="194">
        <v>1</v>
      </c>
      <c r="U27" s="194">
        <v>1</v>
      </c>
      <c r="V27" s="194">
        <v>10</v>
      </c>
      <c r="W27" s="194">
        <v>1</v>
      </c>
      <c r="X27" s="194">
        <v>1</v>
      </c>
      <c r="Y27" s="194">
        <v>7</v>
      </c>
      <c r="Z27" s="194">
        <v>1</v>
      </c>
      <c r="AA27" s="194">
        <v>1</v>
      </c>
      <c r="AB27" s="194">
        <v>10</v>
      </c>
      <c r="AC27" s="194">
        <v>1</v>
      </c>
      <c r="AD27" s="194">
        <v>1</v>
      </c>
      <c r="AE27" s="194">
        <v>6</v>
      </c>
      <c r="AF27" s="194">
        <v>1</v>
      </c>
      <c r="AG27" s="194">
        <v>1</v>
      </c>
      <c r="AH27" s="194">
        <v>10</v>
      </c>
      <c r="AI27" s="194">
        <v>1</v>
      </c>
      <c r="AJ27" s="194">
        <v>1</v>
      </c>
      <c r="AK27" s="194">
        <v>2</v>
      </c>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row>
    <row r="28" spans="1:61" x14ac:dyDescent="0.3">
      <c r="A28" s="193" t="s">
        <v>500</v>
      </c>
      <c r="B28" s="194">
        <v>1</v>
      </c>
      <c r="C28" s="194">
        <v>1</v>
      </c>
      <c r="D28" s="194">
        <v>4</v>
      </c>
      <c r="E28" s="194">
        <v>1</v>
      </c>
      <c r="F28" s="194">
        <v>1</v>
      </c>
      <c r="G28" s="194">
        <v>6</v>
      </c>
      <c r="H28" s="194">
        <v>1</v>
      </c>
      <c r="I28" s="194">
        <v>1</v>
      </c>
      <c r="J28" s="194">
        <v>3</v>
      </c>
      <c r="K28" s="194">
        <v>1</v>
      </c>
      <c r="L28" s="194">
        <v>1</v>
      </c>
      <c r="M28" s="194">
        <v>2</v>
      </c>
      <c r="N28" s="194">
        <v>1</v>
      </c>
      <c r="O28" s="194">
        <v>1</v>
      </c>
      <c r="P28" s="194">
        <v>2</v>
      </c>
      <c r="Q28" s="194">
        <v>1</v>
      </c>
      <c r="R28" s="194">
        <v>1</v>
      </c>
      <c r="S28" s="194">
        <v>2</v>
      </c>
      <c r="T28" s="194">
        <v>1</v>
      </c>
      <c r="U28" s="194">
        <v>1</v>
      </c>
      <c r="V28" s="194">
        <v>3</v>
      </c>
      <c r="W28" s="194">
        <v>1</v>
      </c>
      <c r="X28" s="194">
        <v>1</v>
      </c>
      <c r="Y28" s="194">
        <v>10</v>
      </c>
      <c r="Z28" s="194">
        <v>1</v>
      </c>
      <c r="AA28" s="194">
        <v>1</v>
      </c>
      <c r="AB28" s="194">
        <v>6</v>
      </c>
      <c r="AC28" s="194">
        <v>1</v>
      </c>
      <c r="AD28" s="194">
        <v>1</v>
      </c>
      <c r="AE28" s="194">
        <v>5</v>
      </c>
      <c r="AF28" s="194">
        <v>1</v>
      </c>
      <c r="AG28" s="194">
        <v>1</v>
      </c>
      <c r="AH28" s="194">
        <v>2</v>
      </c>
      <c r="AI28" s="194">
        <v>1</v>
      </c>
      <c r="AJ28" s="194">
        <v>1</v>
      </c>
      <c r="AK28" s="194">
        <v>3</v>
      </c>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row>
    <row r="29" spans="1:61" x14ac:dyDescent="0.3">
      <c r="A29" s="193" t="s">
        <v>454</v>
      </c>
      <c r="B29" s="194">
        <v>0.93300000000000005</v>
      </c>
      <c r="C29" s="194">
        <v>0.8</v>
      </c>
      <c r="D29" s="194">
        <v>5</v>
      </c>
      <c r="E29" s="194">
        <v>0.90500000000000003</v>
      </c>
      <c r="F29" s="194">
        <v>1</v>
      </c>
      <c r="G29" s="194">
        <v>10</v>
      </c>
      <c r="H29" s="194">
        <v>0.95699999999999996</v>
      </c>
      <c r="I29" s="194">
        <v>0.83299999999999996</v>
      </c>
      <c r="J29" s="194">
        <v>6</v>
      </c>
      <c r="K29" s="194">
        <v>0.94099999999999995</v>
      </c>
      <c r="L29" s="194">
        <v>1</v>
      </c>
      <c r="M29" s="194">
        <v>7</v>
      </c>
      <c r="N29" s="194">
        <v>1</v>
      </c>
      <c r="O29" s="194">
        <v>1</v>
      </c>
      <c r="P29" s="194">
        <v>4</v>
      </c>
      <c r="Q29" s="194">
        <v>1</v>
      </c>
      <c r="R29" s="194">
        <v>1</v>
      </c>
      <c r="S29" s="194">
        <v>4</v>
      </c>
      <c r="T29" s="194">
        <v>0.95199999999999996</v>
      </c>
      <c r="U29" s="194">
        <v>1</v>
      </c>
      <c r="V29" s="194">
        <v>6</v>
      </c>
      <c r="W29" s="194">
        <v>0.95499999999999996</v>
      </c>
      <c r="X29" s="194">
        <v>0.90900000000000003</v>
      </c>
      <c r="Y29" s="194">
        <v>11</v>
      </c>
      <c r="Z29" s="194">
        <v>0.95799999999999996</v>
      </c>
      <c r="AA29" s="194">
        <v>1</v>
      </c>
      <c r="AB29" s="194">
        <v>5</v>
      </c>
      <c r="AC29" s="194">
        <v>0.95</v>
      </c>
      <c r="AD29" s="194">
        <v>1</v>
      </c>
      <c r="AE29" s="194">
        <v>8</v>
      </c>
      <c r="AF29" s="194">
        <v>0.92900000000000005</v>
      </c>
      <c r="AG29" s="194">
        <v>0.85699999999999998</v>
      </c>
      <c r="AH29" s="194">
        <v>7</v>
      </c>
      <c r="AI29" s="194">
        <v>0.9</v>
      </c>
      <c r="AJ29" s="194">
        <v>0.92300000000000004</v>
      </c>
      <c r="AK29" s="194">
        <v>13</v>
      </c>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row>
    <row r="30" spans="1:61" x14ac:dyDescent="0.3">
      <c r="A30" s="193" t="s">
        <v>412</v>
      </c>
      <c r="B30" s="194">
        <v>1</v>
      </c>
      <c r="C30" s="194">
        <v>1</v>
      </c>
      <c r="D30" s="194">
        <v>6</v>
      </c>
      <c r="E30" s="194">
        <v>1</v>
      </c>
      <c r="F30" s="194">
        <v>1</v>
      </c>
      <c r="G30" s="194">
        <v>2</v>
      </c>
      <c r="H30" s="194">
        <v>1</v>
      </c>
      <c r="I30" s="194"/>
      <c r="J30" s="194"/>
      <c r="K30" s="194">
        <v>0.83299999999999996</v>
      </c>
      <c r="L30" s="194">
        <v>1</v>
      </c>
      <c r="M30" s="194">
        <v>2</v>
      </c>
      <c r="N30" s="194">
        <v>0.83299999999999996</v>
      </c>
      <c r="O30" s="194">
        <v>0.75</v>
      </c>
      <c r="P30" s="194">
        <v>4</v>
      </c>
      <c r="Q30" s="194">
        <v>0.8</v>
      </c>
      <c r="R30" s="194"/>
      <c r="S30" s="194"/>
      <c r="T30" s="194">
        <v>1</v>
      </c>
      <c r="U30" s="194">
        <v>1</v>
      </c>
      <c r="V30" s="194">
        <v>1</v>
      </c>
      <c r="W30" s="194">
        <v>1</v>
      </c>
      <c r="X30" s="194">
        <v>1</v>
      </c>
      <c r="Y30" s="194">
        <v>4</v>
      </c>
      <c r="Z30" s="194">
        <v>0.9</v>
      </c>
      <c r="AA30" s="194">
        <v>1</v>
      </c>
      <c r="AB30" s="194">
        <v>4</v>
      </c>
      <c r="AC30" s="194">
        <v>0.81799999999999995</v>
      </c>
      <c r="AD30" s="194">
        <v>0.5</v>
      </c>
      <c r="AE30" s="194">
        <v>2</v>
      </c>
      <c r="AF30" s="194">
        <v>0.875</v>
      </c>
      <c r="AG30" s="194">
        <v>0.8</v>
      </c>
      <c r="AH30" s="194">
        <v>5</v>
      </c>
      <c r="AI30" s="194">
        <v>0.92900000000000005</v>
      </c>
      <c r="AJ30" s="194">
        <v>1</v>
      </c>
      <c r="AK30" s="194">
        <v>9</v>
      </c>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row>
    <row r="31" spans="1:61" x14ac:dyDescent="0.3">
      <c r="A31" s="193" t="s">
        <v>346</v>
      </c>
      <c r="B31" s="194">
        <v>0.94099999999999995</v>
      </c>
      <c r="C31" s="194">
        <v>0.9</v>
      </c>
      <c r="D31" s="194">
        <v>10</v>
      </c>
      <c r="E31" s="194">
        <v>0.91300000000000003</v>
      </c>
      <c r="F31" s="194">
        <v>1</v>
      </c>
      <c r="G31" s="194">
        <v>7</v>
      </c>
      <c r="H31" s="194">
        <v>0.95</v>
      </c>
      <c r="I31" s="194">
        <v>0.83299999999999996</v>
      </c>
      <c r="J31" s="194">
        <v>6</v>
      </c>
      <c r="K31" s="194">
        <v>0.95199999999999996</v>
      </c>
      <c r="L31" s="194">
        <v>1</v>
      </c>
      <c r="M31" s="194">
        <v>7</v>
      </c>
      <c r="N31" s="194">
        <v>1</v>
      </c>
      <c r="O31" s="194">
        <v>1</v>
      </c>
      <c r="P31" s="194">
        <v>8</v>
      </c>
      <c r="Q31" s="194">
        <v>1</v>
      </c>
      <c r="R31" s="194">
        <v>1</v>
      </c>
      <c r="S31" s="194">
        <v>8</v>
      </c>
      <c r="T31" s="194">
        <v>1</v>
      </c>
      <c r="U31" s="194">
        <v>1</v>
      </c>
      <c r="V31" s="194">
        <v>2</v>
      </c>
      <c r="W31" s="194">
        <v>0.86399999999999999</v>
      </c>
      <c r="X31" s="194">
        <v>1</v>
      </c>
      <c r="Y31" s="194">
        <v>6</v>
      </c>
      <c r="Z31" s="194">
        <v>0.77100000000000002</v>
      </c>
      <c r="AA31" s="194">
        <v>0.78600000000000003</v>
      </c>
      <c r="AB31" s="194">
        <v>14</v>
      </c>
      <c r="AC31" s="194">
        <v>0.71399999999999997</v>
      </c>
      <c r="AD31" s="194">
        <v>0.66700000000000004</v>
      </c>
      <c r="AE31" s="194">
        <v>15</v>
      </c>
      <c r="AF31" s="194">
        <v>0.68300000000000005</v>
      </c>
      <c r="AG31" s="194">
        <v>0.69199999999999995</v>
      </c>
      <c r="AH31" s="194">
        <v>13</v>
      </c>
      <c r="AI31" s="194">
        <v>0.69199999999999995</v>
      </c>
      <c r="AJ31" s="194">
        <v>0.69199999999999995</v>
      </c>
      <c r="AK31" s="194">
        <v>13</v>
      </c>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row>
    <row r="32" spans="1:61" x14ac:dyDescent="0.3">
      <c r="A32" s="193" t="s">
        <v>352</v>
      </c>
      <c r="B32" s="194">
        <v>1</v>
      </c>
      <c r="C32" s="194">
        <v>1</v>
      </c>
      <c r="D32" s="194">
        <v>25</v>
      </c>
      <c r="E32" s="194">
        <v>0.95699999999999996</v>
      </c>
      <c r="F32" s="194">
        <v>1</v>
      </c>
      <c r="G32" s="194">
        <v>25</v>
      </c>
      <c r="H32" s="194">
        <v>0.95499999999999996</v>
      </c>
      <c r="I32" s="194">
        <v>0.84199999999999997</v>
      </c>
      <c r="J32" s="194">
        <v>19</v>
      </c>
      <c r="K32" s="194">
        <v>0.93799999999999994</v>
      </c>
      <c r="L32" s="194">
        <v>1</v>
      </c>
      <c r="M32" s="194">
        <v>22</v>
      </c>
      <c r="N32" s="194">
        <v>0.98199999999999998</v>
      </c>
      <c r="O32" s="194">
        <v>0.95699999999999996</v>
      </c>
      <c r="P32" s="194">
        <v>23</v>
      </c>
      <c r="Q32" s="194">
        <v>0.96299999999999997</v>
      </c>
      <c r="R32" s="194">
        <v>1</v>
      </c>
      <c r="S32" s="194">
        <v>12</v>
      </c>
      <c r="T32" s="194">
        <v>0.97799999999999998</v>
      </c>
      <c r="U32" s="194">
        <v>0.94699999999999995</v>
      </c>
      <c r="V32" s="194">
        <v>19</v>
      </c>
      <c r="W32" s="194">
        <v>0.98</v>
      </c>
      <c r="X32" s="194">
        <v>1</v>
      </c>
      <c r="Y32" s="194">
        <v>14</v>
      </c>
      <c r="Z32" s="194">
        <v>0.98199999999999998</v>
      </c>
      <c r="AA32" s="194">
        <v>1</v>
      </c>
      <c r="AB32" s="194">
        <v>18</v>
      </c>
      <c r="AC32" s="194">
        <v>0.98299999999999998</v>
      </c>
      <c r="AD32" s="194">
        <v>0.95699999999999996</v>
      </c>
      <c r="AE32" s="194">
        <v>23</v>
      </c>
      <c r="AF32" s="194">
        <v>0.98399999999999999</v>
      </c>
      <c r="AG32" s="194">
        <v>1</v>
      </c>
      <c r="AH32" s="194">
        <v>18</v>
      </c>
      <c r="AI32" s="194">
        <v>1</v>
      </c>
      <c r="AJ32" s="194">
        <v>1</v>
      </c>
      <c r="AK32" s="194">
        <v>23</v>
      </c>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row>
    <row r="33" spans="1:61" x14ac:dyDescent="0.3">
      <c r="A33" s="193" t="s">
        <v>446</v>
      </c>
      <c r="B33" s="194">
        <v>0.97199999999999998</v>
      </c>
      <c r="C33" s="194">
        <v>0.94699999999999995</v>
      </c>
      <c r="D33" s="194">
        <v>19</v>
      </c>
      <c r="E33" s="194">
        <v>0.98</v>
      </c>
      <c r="F33" s="194">
        <v>1</v>
      </c>
      <c r="G33" s="194">
        <v>17</v>
      </c>
      <c r="H33" s="194">
        <v>1</v>
      </c>
      <c r="I33" s="194">
        <v>1</v>
      </c>
      <c r="J33" s="194">
        <v>15</v>
      </c>
      <c r="K33" s="194">
        <v>1</v>
      </c>
      <c r="L33" s="194">
        <v>1</v>
      </c>
      <c r="M33" s="194">
        <v>14</v>
      </c>
      <c r="N33" s="194">
        <v>0.97699999999999998</v>
      </c>
      <c r="O33" s="194">
        <v>1</v>
      </c>
      <c r="P33" s="194">
        <v>12</v>
      </c>
      <c r="Q33" s="194">
        <v>0.94399999999999995</v>
      </c>
      <c r="R33" s="194">
        <v>0.94399999999999995</v>
      </c>
      <c r="S33" s="194">
        <v>18</v>
      </c>
      <c r="T33" s="194">
        <v>0.95399999999999996</v>
      </c>
      <c r="U33" s="194">
        <v>0.91700000000000004</v>
      </c>
      <c r="V33" s="194">
        <v>24</v>
      </c>
      <c r="W33" s="194">
        <v>0.94799999999999995</v>
      </c>
      <c r="X33" s="194">
        <v>1</v>
      </c>
      <c r="Y33" s="194">
        <v>23</v>
      </c>
      <c r="Z33" s="194">
        <v>0.93600000000000005</v>
      </c>
      <c r="AA33" s="194">
        <v>0.90900000000000003</v>
      </c>
      <c r="AB33" s="194">
        <v>11</v>
      </c>
      <c r="AC33" s="194">
        <v>0.93</v>
      </c>
      <c r="AD33" s="194">
        <v>0.84599999999999997</v>
      </c>
      <c r="AE33" s="194">
        <v>13</v>
      </c>
      <c r="AF33" s="194">
        <v>0.91800000000000004</v>
      </c>
      <c r="AG33" s="194">
        <v>1</v>
      </c>
      <c r="AH33" s="194">
        <v>19</v>
      </c>
      <c r="AI33" s="194">
        <v>0.94399999999999995</v>
      </c>
      <c r="AJ33" s="194">
        <v>0.88200000000000001</v>
      </c>
      <c r="AK33" s="194">
        <v>17</v>
      </c>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row>
    <row r="34" spans="1:61" x14ac:dyDescent="0.3">
      <c r="A34" s="193" t="s">
        <v>396</v>
      </c>
      <c r="B34" s="194">
        <v>0.94699999999999995</v>
      </c>
      <c r="C34" s="194">
        <v>1</v>
      </c>
      <c r="D34" s="194">
        <v>10</v>
      </c>
      <c r="E34" s="194">
        <v>0.97499999999999998</v>
      </c>
      <c r="F34" s="194">
        <v>0.88900000000000001</v>
      </c>
      <c r="G34" s="194">
        <v>9</v>
      </c>
      <c r="H34" s="194">
        <v>0.97699999999999998</v>
      </c>
      <c r="I34" s="194">
        <v>1</v>
      </c>
      <c r="J34" s="194">
        <v>21</v>
      </c>
      <c r="K34" s="194">
        <v>1</v>
      </c>
      <c r="L34" s="194">
        <v>1</v>
      </c>
      <c r="M34" s="194">
        <v>13</v>
      </c>
      <c r="N34" s="194">
        <v>1</v>
      </c>
      <c r="O34" s="194">
        <v>1</v>
      </c>
      <c r="P34" s="194">
        <v>13</v>
      </c>
      <c r="Q34" s="194">
        <v>1</v>
      </c>
      <c r="R34" s="194">
        <v>1</v>
      </c>
      <c r="S34" s="194">
        <v>12</v>
      </c>
      <c r="T34" s="194">
        <v>0.97799999999999998</v>
      </c>
      <c r="U34" s="194">
        <v>1</v>
      </c>
      <c r="V34" s="194">
        <v>15</v>
      </c>
      <c r="W34" s="194">
        <v>0.98</v>
      </c>
      <c r="X34" s="194">
        <v>0.94699999999999995</v>
      </c>
      <c r="Y34" s="194">
        <v>19</v>
      </c>
      <c r="Z34" s="194">
        <v>0.98099999999999998</v>
      </c>
      <c r="AA34" s="194">
        <v>1</v>
      </c>
      <c r="AB34" s="194">
        <v>17</v>
      </c>
      <c r="AC34" s="194">
        <v>1</v>
      </c>
      <c r="AD34" s="194">
        <v>1</v>
      </c>
      <c r="AE34" s="194">
        <v>18</v>
      </c>
      <c r="AF34" s="194">
        <v>1</v>
      </c>
      <c r="AG34" s="194">
        <v>1</v>
      </c>
      <c r="AH34" s="194">
        <v>19</v>
      </c>
      <c r="AI34" s="194">
        <v>1</v>
      </c>
      <c r="AJ34" s="194">
        <v>1</v>
      </c>
      <c r="AK34" s="194">
        <v>25</v>
      </c>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row>
    <row r="35" spans="1:61" x14ac:dyDescent="0.3">
      <c r="A35" s="193" t="s">
        <v>272</v>
      </c>
      <c r="B35" s="194">
        <v>1</v>
      </c>
      <c r="C35" s="194">
        <v>1</v>
      </c>
      <c r="D35" s="194">
        <v>2</v>
      </c>
      <c r="E35" s="194">
        <v>0.86699999999999999</v>
      </c>
      <c r="F35" s="194">
        <v>1</v>
      </c>
      <c r="G35" s="194">
        <v>4</v>
      </c>
      <c r="H35" s="194">
        <v>0.75</v>
      </c>
      <c r="I35" s="194">
        <v>0.77800000000000002</v>
      </c>
      <c r="J35" s="194">
        <v>9</v>
      </c>
      <c r="K35" s="194">
        <v>0.76200000000000001</v>
      </c>
      <c r="L35" s="194">
        <v>0.57099999999999995</v>
      </c>
      <c r="M35" s="194">
        <v>7</v>
      </c>
      <c r="N35" s="194">
        <v>0.84</v>
      </c>
      <c r="O35" s="194">
        <v>1</v>
      </c>
      <c r="P35" s="194">
        <v>5</v>
      </c>
      <c r="Q35" s="194">
        <v>0.93899999999999995</v>
      </c>
      <c r="R35" s="194">
        <v>0.92300000000000004</v>
      </c>
      <c r="S35" s="194">
        <v>13</v>
      </c>
      <c r="T35" s="194">
        <v>0.94399999999999995</v>
      </c>
      <c r="U35" s="194">
        <v>0.93300000000000005</v>
      </c>
      <c r="V35" s="194">
        <v>15</v>
      </c>
      <c r="W35" s="194">
        <v>0.93500000000000005</v>
      </c>
      <c r="X35" s="194">
        <v>1</v>
      </c>
      <c r="Y35" s="194">
        <v>8</v>
      </c>
      <c r="Z35" s="194">
        <v>0.92600000000000005</v>
      </c>
      <c r="AA35" s="194">
        <v>0.875</v>
      </c>
      <c r="AB35" s="194">
        <v>8</v>
      </c>
      <c r="AC35" s="194">
        <v>0.91700000000000004</v>
      </c>
      <c r="AD35" s="194">
        <v>0.90900000000000003</v>
      </c>
      <c r="AE35" s="194">
        <v>11</v>
      </c>
      <c r="AF35" s="194">
        <v>0.95499999999999996</v>
      </c>
      <c r="AG35" s="194">
        <v>1</v>
      </c>
      <c r="AH35" s="194">
        <v>5</v>
      </c>
      <c r="AI35" s="194">
        <v>1</v>
      </c>
      <c r="AJ35" s="194">
        <v>1</v>
      </c>
      <c r="AK35" s="194">
        <v>6</v>
      </c>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row>
    <row r="36" spans="1:61" x14ac:dyDescent="0.3">
      <c r="A36" s="193" t="s">
        <v>276</v>
      </c>
      <c r="B36" s="194">
        <v>0.625</v>
      </c>
      <c r="C36" s="194">
        <v>0.75</v>
      </c>
      <c r="D36" s="194">
        <v>4</v>
      </c>
      <c r="E36" s="194">
        <v>0.7</v>
      </c>
      <c r="F36" s="194">
        <v>0.5</v>
      </c>
      <c r="G36" s="194">
        <v>4</v>
      </c>
      <c r="H36" s="194">
        <v>0.84599999999999997</v>
      </c>
      <c r="I36" s="194">
        <v>1</v>
      </c>
      <c r="J36" s="194">
        <v>2</v>
      </c>
      <c r="K36" s="194">
        <v>1</v>
      </c>
      <c r="L36" s="194">
        <v>1</v>
      </c>
      <c r="M36" s="194">
        <v>7</v>
      </c>
      <c r="N36" s="194">
        <v>1</v>
      </c>
      <c r="O36" s="194">
        <v>1</v>
      </c>
      <c r="P36" s="194">
        <v>5</v>
      </c>
      <c r="Q36" s="194">
        <v>1</v>
      </c>
      <c r="R36" s="194">
        <v>1</v>
      </c>
      <c r="S36" s="194">
        <v>7</v>
      </c>
      <c r="T36" s="194">
        <v>1</v>
      </c>
      <c r="U36" s="194">
        <v>1</v>
      </c>
      <c r="V36" s="194">
        <v>7</v>
      </c>
      <c r="W36" s="194">
        <v>1</v>
      </c>
      <c r="X36" s="194">
        <v>1</v>
      </c>
      <c r="Y36" s="194">
        <v>6</v>
      </c>
      <c r="Z36" s="194">
        <v>1</v>
      </c>
      <c r="AA36" s="194">
        <v>1</v>
      </c>
      <c r="AB36" s="194">
        <v>10</v>
      </c>
      <c r="AC36" s="194">
        <v>0.95</v>
      </c>
      <c r="AD36" s="194">
        <v>1</v>
      </c>
      <c r="AE36" s="194">
        <v>6</v>
      </c>
      <c r="AF36" s="194">
        <v>0.81799999999999995</v>
      </c>
      <c r="AG36" s="194">
        <v>0.75</v>
      </c>
      <c r="AH36" s="194">
        <v>4</v>
      </c>
      <c r="AI36" s="194">
        <v>0.6</v>
      </c>
      <c r="AJ36" s="194">
        <v>0</v>
      </c>
      <c r="AK36" s="194">
        <v>1</v>
      </c>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row>
    <row r="37" spans="1:61" x14ac:dyDescent="0.3">
      <c r="A37" s="193" t="s">
        <v>502</v>
      </c>
      <c r="B37" s="194">
        <v>0.83299999999999996</v>
      </c>
      <c r="C37" s="194">
        <v>1</v>
      </c>
      <c r="D37" s="194">
        <v>3</v>
      </c>
      <c r="E37" s="194">
        <v>0.8</v>
      </c>
      <c r="F37" s="194">
        <v>0.66700000000000004</v>
      </c>
      <c r="G37" s="194">
        <v>3</v>
      </c>
      <c r="H37" s="194">
        <v>0.75</v>
      </c>
      <c r="I37" s="194">
        <v>0.75</v>
      </c>
      <c r="J37" s="194">
        <v>4</v>
      </c>
      <c r="K37" s="194">
        <v>0.8</v>
      </c>
      <c r="L37" s="194">
        <v>1</v>
      </c>
      <c r="M37" s="194">
        <v>1</v>
      </c>
      <c r="N37" s="194">
        <v>1</v>
      </c>
      <c r="O37" s="194"/>
      <c r="P37" s="194"/>
      <c r="Q37" s="194">
        <v>0.66700000000000004</v>
      </c>
      <c r="R37" s="194">
        <v>1</v>
      </c>
      <c r="S37" s="194">
        <v>2</v>
      </c>
      <c r="T37" s="194">
        <v>0.8</v>
      </c>
      <c r="U37" s="194">
        <v>0</v>
      </c>
      <c r="V37" s="194">
        <v>1</v>
      </c>
      <c r="W37" s="194">
        <v>0.75</v>
      </c>
      <c r="X37" s="194">
        <v>1</v>
      </c>
      <c r="Y37" s="194">
        <v>2</v>
      </c>
      <c r="Z37" s="194">
        <v>1</v>
      </c>
      <c r="AA37" s="194">
        <v>1</v>
      </c>
      <c r="AB37" s="194">
        <v>1</v>
      </c>
      <c r="AC37" s="194">
        <v>1</v>
      </c>
      <c r="AD37" s="194">
        <v>1</v>
      </c>
      <c r="AE37" s="194">
        <v>3</v>
      </c>
      <c r="AF37" s="194">
        <v>1</v>
      </c>
      <c r="AG37" s="194"/>
      <c r="AH37" s="194"/>
      <c r="AI37" s="194">
        <v>1</v>
      </c>
      <c r="AJ37" s="194">
        <v>1</v>
      </c>
      <c r="AK37" s="194">
        <v>2</v>
      </c>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row>
    <row r="38" spans="1:61" x14ac:dyDescent="0.3">
      <c r="A38" s="193" t="s">
        <v>314</v>
      </c>
      <c r="B38" s="194">
        <v>0.16700000000000001</v>
      </c>
      <c r="C38" s="194">
        <v>0.25</v>
      </c>
      <c r="D38" s="194">
        <v>4</v>
      </c>
      <c r="E38" s="194">
        <v>0.125</v>
      </c>
      <c r="F38" s="194">
        <v>0</v>
      </c>
      <c r="G38" s="194">
        <v>2</v>
      </c>
      <c r="H38" s="194">
        <v>0.111</v>
      </c>
      <c r="I38" s="194">
        <v>0.1</v>
      </c>
      <c r="J38" s="194">
        <v>10</v>
      </c>
      <c r="K38" s="194">
        <v>0.14299999999999999</v>
      </c>
      <c r="L38" s="194">
        <v>0.16700000000000001</v>
      </c>
      <c r="M38" s="194">
        <v>6</v>
      </c>
      <c r="N38" s="194">
        <v>0.2</v>
      </c>
      <c r="O38" s="194">
        <v>0.2</v>
      </c>
      <c r="P38" s="194">
        <v>5</v>
      </c>
      <c r="Q38" s="194">
        <v>0.214</v>
      </c>
      <c r="R38" s="194">
        <v>0.25</v>
      </c>
      <c r="S38" s="194">
        <v>4</v>
      </c>
      <c r="T38" s="194">
        <v>0.27800000000000002</v>
      </c>
      <c r="U38" s="194">
        <v>0.2</v>
      </c>
      <c r="V38" s="194">
        <v>5</v>
      </c>
      <c r="W38" s="194">
        <v>0.26300000000000001</v>
      </c>
      <c r="X38" s="194">
        <v>0.33300000000000002</v>
      </c>
      <c r="Y38" s="194">
        <v>9</v>
      </c>
      <c r="Z38" s="194">
        <v>0.28599999999999998</v>
      </c>
      <c r="AA38" s="194">
        <v>0.2</v>
      </c>
      <c r="AB38" s="194">
        <v>5</v>
      </c>
      <c r="AC38" s="194">
        <v>0.44400000000000001</v>
      </c>
      <c r="AD38" s="194">
        <v>0.28599999999999998</v>
      </c>
      <c r="AE38" s="194">
        <v>7</v>
      </c>
      <c r="AF38" s="194">
        <v>0.47399999999999998</v>
      </c>
      <c r="AG38" s="194">
        <v>0.83299999999999996</v>
      </c>
      <c r="AH38" s="194">
        <v>6</v>
      </c>
      <c r="AI38" s="194">
        <v>0.58299999999999996</v>
      </c>
      <c r="AJ38" s="194">
        <v>0.33300000000000002</v>
      </c>
      <c r="AK38" s="194">
        <v>6</v>
      </c>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row>
    <row r="39" spans="1:61" x14ac:dyDescent="0.3">
      <c r="A39" s="193" t="s">
        <v>425</v>
      </c>
      <c r="B39" s="194">
        <v>0.375</v>
      </c>
      <c r="C39" s="194">
        <v>0.28599999999999998</v>
      </c>
      <c r="D39" s="194">
        <v>7</v>
      </c>
      <c r="E39" s="194">
        <v>0.35</v>
      </c>
      <c r="F39" s="194">
        <v>0.44400000000000001</v>
      </c>
      <c r="G39" s="194">
        <v>9</v>
      </c>
      <c r="H39" s="194">
        <v>0.47599999999999998</v>
      </c>
      <c r="I39" s="194">
        <v>0.25</v>
      </c>
      <c r="J39" s="194">
        <v>4</v>
      </c>
      <c r="K39" s="194">
        <v>0.65</v>
      </c>
      <c r="L39" s="194">
        <v>0.625</v>
      </c>
      <c r="M39" s="194">
        <v>8</v>
      </c>
      <c r="N39" s="194">
        <v>0.54200000000000004</v>
      </c>
      <c r="O39" s="194">
        <v>0.875</v>
      </c>
      <c r="P39" s="194">
        <v>8</v>
      </c>
      <c r="Q39" s="194">
        <v>0.44</v>
      </c>
      <c r="R39" s="194">
        <v>0.125</v>
      </c>
      <c r="S39" s="194">
        <v>8</v>
      </c>
      <c r="T39" s="194">
        <v>0.28599999999999998</v>
      </c>
      <c r="U39" s="194">
        <v>0.33300000000000002</v>
      </c>
      <c r="V39" s="194">
        <v>9</v>
      </c>
      <c r="W39" s="194">
        <v>0.39100000000000001</v>
      </c>
      <c r="X39" s="194">
        <v>0.36399999999999999</v>
      </c>
      <c r="Y39" s="194">
        <v>11</v>
      </c>
      <c r="Z39" s="194">
        <v>0.5</v>
      </c>
      <c r="AA39" s="194">
        <v>0.66700000000000004</v>
      </c>
      <c r="AB39" s="194">
        <v>3</v>
      </c>
      <c r="AC39" s="194">
        <v>0.58799999999999997</v>
      </c>
      <c r="AD39" s="194">
        <v>0.625</v>
      </c>
      <c r="AE39" s="194">
        <v>8</v>
      </c>
      <c r="AF39" s="194">
        <v>0.73899999999999999</v>
      </c>
      <c r="AG39" s="194">
        <v>0.5</v>
      </c>
      <c r="AH39" s="194">
        <v>6</v>
      </c>
      <c r="AI39" s="194">
        <v>0.8</v>
      </c>
      <c r="AJ39" s="194">
        <v>1</v>
      </c>
      <c r="AK39" s="194">
        <v>9</v>
      </c>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row>
    <row r="40" spans="1:61" x14ac:dyDescent="0.3">
      <c r="A40" s="193" t="s">
        <v>380</v>
      </c>
      <c r="B40" s="194">
        <v>0.71399999999999997</v>
      </c>
      <c r="C40" s="194">
        <v>0.75</v>
      </c>
      <c r="D40" s="194">
        <v>4</v>
      </c>
      <c r="E40" s="194">
        <v>0.77800000000000002</v>
      </c>
      <c r="F40" s="194">
        <v>0.66700000000000004</v>
      </c>
      <c r="G40" s="194">
        <v>3</v>
      </c>
      <c r="H40" s="194">
        <v>0.83299999999999996</v>
      </c>
      <c r="I40" s="194">
        <v>1</v>
      </c>
      <c r="J40" s="194">
        <v>2</v>
      </c>
      <c r="K40" s="194">
        <v>1</v>
      </c>
      <c r="L40" s="194">
        <v>1</v>
      </c>
      <c r="M40" s="194">
        <v>1</v>
      </c>
      <c r="N40" s="194">
        <v>1</v>
      </c>
      <c r="O40" s="194">
        <v>1</v>
      </c>
      <c r="P40" s="194">
        <v>1</v>
      </c>
      <c r="Q40" s="194">
        <v>1</v>
      </c>
      <c r="R40" s="194"/>
      <c r="S40" s="194"/>
      <c r="T40" s="194">
        <v>1</v>
      </c>
      <c r="U40" s="194">
        <v>1</v>
      </c>
      <c r="V40" s="194">
        <v>5</v>
      </c>
      <c r="W40" s="194">
        <v>1</v>
      </c>
      <c r="X40" s="194">
        <v>1</v>
      </c>
      <c r="Y40" s="194">
        <v>3</v>
      </c>
      <c r="Z40" s="194">
        <v>1</v>
      </c>
      <c r="AA40" s="194">
        <v>1</v>
      </c>
      <c r="AB40" s="194">
        <v>2</v>
      </c>
      <c r="AC40" s="194">
        <v>1</v>
      </c>
      <c r="AD40" s="194">
        <v>1</v>
      </c>
      <c r="AE40" s="194">
        <v>4</v>
      </c>
      <c r="AF40" s="194">
        <v>1</v>
      </c>
      <c r="AG40" s="194">
        <v>1</v>
      </c>
      <c r="AH40" s="194">
        <v>3</v>
      </c>
      <c r="AI40" s="194">
        <v>1</v>
      </c>
      <c r="AJ40" s="194">
        <v>1</v>
      </c>
      <c r="AK40" s="194">
        <v>4</v>
      </c>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row>
    <row r="41" spans="1:61" x14ac:dyDescent="0.3">
      <c r="A41" s="193" t="s">
        <v>542</v>
      </c>
      <c r="B41" s="194">
        <v>0.73299999999999998</v>
      </c>
      <c r="C41" s="194">
        <v>0.7</v>
      </c>
      <c r="D41" s="194">
        <v>10</v>
      </c>
      <c r="E41" s="194">
        <v>0.77800000000000002</v>
      </c>
      <c r="F41" s="194">
        <v>0.8</v>
      </c>
      <c r="G41" s="194">
        <v>5</v>
      </c>
      <c r="H41" s="194">
        <v>0.92900000000000005</v>
      </c>
      <c r="I41" s="194">
        <v>1</v>
      </c>
      <c r="J41" s="194">
        <v>3</v>
      </c>
      <c r="K41" s="194">
        <v>1</v>
      </c>
      <c r="L41" s="194">
        <v>1</v>
      </c>
      <c r="M41" s="194">
        <v>6</v>
      </c>
      <c r="N41" s="194">
        <v>0.94699999999999995</v>
      </c>
      <c r="O41" s="194">
        <v>1</v>
      </c>
      <c r="P41" s="194">
        <v>4</v>
      </c>
      <c r="Q41" s="194">
        <v>0.86399999999999999</v>
      </c>
      <c r="R41" s="194">
        <v>0.88900000000000001</v>
      </c>
      <c r="S41" s="194">
        <v>9</v>
      </c>
      <c r="T41" s="194">
        <v>0.77300000000000002</v>
      </c>
      <c r="U41" s="194">
        <v>0.77800000000000002</v>
      </c>
      <c r="V41" s="194">
        <v>9</v>
      </c>
      <c r="W41" s="194">
        <v>0.75</v>
      </c>
      <c r="X41" s="194">
        <v>0.5</v>
      </c>
      <c r="Y41" s="194">
        <v>4</v>
      </c>
      <c r="Z41" s="194">
        <v>0.75</v>
      </c>
      <c r="AA41" s="194">
        <v>1</v>
      </c>
      <c r="AB41" s="194">
        <v>3</v>
      </c>
      <c r="AC41" s="194">
        <v>0.92900000000000005</v>
      </c>
      <c r="AD41" s="194">
        <v>0.8</v>
      </c>
      <c r="AE41" s="194">
        <v>5</v>
      </c>
      <c r="AF41" s="194">
        <v>0.94399999999999995</v>
      </c>
      <c r="AG41" s="194">
        <v>1</v>
      </c>
      <c r="AH41" s="194">
        <v>6</v>
      </c>
      <c r="AI41" s="194">
        <v>1</v>
      </c>
      <c r="AJ41" s="194">
        <v>1</v>
      </c>
      <c r="AK41" s="194">
        <v>7</v>
      </c>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row>
    <row r="42" spans="1:61" x14ac:dyDescent="0.3">
      <c r="A42" s="193" t="s">
        <v>306</v>
      </c>
      <c r="B42" s="194">
        <v>0.20599999999999999</v>
      </c>
      <c r="C42" s="194">
        <v>0.26300000000000001</v>
      </c>
      <c r="D42" s="194">
        <v>19</v>
      </c>
      <c r="E42" s="194">
        <v>0.26700000000000002</v>
      </c>
      <c r="F42" s="194">
        <v>0.13300000000000001</v>
      </c>
      <c r="G42" s="194">
        <v>15</v>
      </c>
      <c r="H42" s="194">
        <v>0.25</v>
      </c>
      <c r="I42" s="194">
        <v>0.45500000000000002</v>
      </c>
      <c r="J42" s="194">
        <v>11</v>
      </c>
      <c r="K42" s="194">
        <v>0.35299999999999998</v>
      </c>
      <c r="L42" s="194">
        <v>0.2</v>
      </c>
      <c r="M42" s="194">
        <v>10</v>
      </c>
      <c r="N42" s="194">
        <v>0.25700000000000001</v>
      </c>
      <c r="O42" s="194">
        <v>0.38500000000000001</v>
      </c>
      <c r="P42" s="194">
        <v>13</v>
      </c>
      <c r="Q42" s="194">
        <v>0.20499999999999999</v>
      </c>
      <c r="R42" s="194">
        <v>0.16700000000000001</v>
      </c>
      <c r="S42" s="194">
        <v>12</v>
      </c>
      <c r="T42" s="194">
        <v>0.1</v>
      </c>
      <c r="U42" s="194">
        <v>0.105</v>
      </c>
      <c r="V42" s="194">
        <v>19</v>
      </c>
      <c r="W42" s="194">
        <v>0.20499999999999999</v>
      </c>
      <c r="X42" s="194">
        <v>0</v>
      </c>
      <c r="Y42" s="194">
        <v>9</v>
      </c>
      <c r="Z42" s="194">
        <v>0.372</v>
      </c>
      <c r="AA42" s="194">
        <v>0.54500000000000004</v>
      </c>
      <c r="AB42" s="194">
        <v>11</v>
      </c>
      <c r="AC42" s="194">
        <v>0.433</v>
      </c>
      <c r="AD42" s="194">
        <v>0.435</v>
      </c>
      <c r="AE42" s="194">
        <v>23</v>
      </c>
      <c r="AF42" s="194">
        <v>0.50600000000000001</v>
      </c>
      <c r="AG42" s="194">
        <v>0.38500000000000001</v>
      </c>
      <c r="AH42" s="194">
        <v>26</v>
      </c>
      <c r="AI42" s="194">
        <v>0.53700000000000003</v>
      </c>
      <c r="AJ42" s="194">
        <v>0.67900000000000005</v>
      </c>
      <c r="AK42" s="194">
        <v>28</v>
      </c>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row>
    <row r="43" spans="1:61" x14ac:dyDescent="0.3">
      <c r="A43" s="193" t="s">
        <v>468</v>
      </c>
      <c r="B43" s="194">
        <v>0.88900000000000001</v>
      </c>
      <c r="C43" s="194">
        <v>0.76900000000000002</v>
      </c>
      <c r="D43" s="194">
        <v>13</v>
      </c>
      <c r="E43" s="194">
        <v>0.90200000000000002</v>
      </c>
      <c r="F43" s="194">
        <v>1</v>
      </c>
      <c r="G43" s="194">
        <v>14</v>
      </c>
      <c r="H43" s="194">
        <v>0.95099999999999996</v>
      </c>
      <c r="I43" s="194">
        <v>0.92900000000000005</v>
      </c>
      <c r="J43" s="194">
        <v>14</v>
      </c>
      <c r="K43" s="194">
        <v>0.94899999999999995</v>
      </c>
      <c r="L43" s="194">
        <v>0.92300000000000004</v>
      </c>
      <c r="M43" s="194">
        <v>13</v>
      </c>
      <c r="N43" s="194">
        <v>0.97299999999999998</v>
      </c>
      <c r="O43" s="194">
        <v>1</v>
      </c>
      <c r="P43" s="194">
        <v>12</v>
      </c>
      <c r="Q43" s="194">
        <v>1</v>
      </c>
      <c r="R43" s="194">
        <v>1</v>
      </c>
      <c r="S43" s="194">
        <v>12</v>
      </c>
      <c r="T43" s="194">
        <v>0.97399999999999998</v>
      </c>
      <c r="U43" s="194">
        <v>1</v>
      </c>
      <c r="V43" s="194">
        <v>18</v>
      </c>
      <c r="W43" s="194">
        <v>0.94399999999999995</v>
      </c>
      <c r="X43" s="194">
        <v>0.875</v>
      </c>
      <c r="Y43" s="194">
        <v>8</v>
      </c>
      <c r="Z43" s="194">
        <v>0.91300000000000003</v>
      </c>
      <c r="AA43" s="194">
        <v>0.9</v>
      </c>
      <c r="AB43" s="194">
        <v>10</v>
      </c>
      <c r="AC43" s="194">
        <v>0.95</v>
      </c>
      <c r="AD43" s="194">
        <v>1</v>
      </c>
      <c r="AE43" s="194">
        <v>5</v>
      </c>
      <c r="AF43" s="194">
        <v>1</v>
      </c>
      <c r="AG43" s="194">
        <v>1</v>
      </c>
      <c r="AH43" s="194">
        <v>5</v>
      </c>
      <c r="AI43" s="194">
        <v>1</v>
      </c>
      <c r="AJ43" s="194">
        <v>1</v>
      </c>
      <c r="AK43" s="194">
        <v>16</v>
      </c>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row>
    <row r="44" spans="1:61" x14ac:dyDescent="0.3">
      <c r="A44" s="193" t="s">
        <v>448</v>
      </c>
      <c r="B44" s="194">
        <v>1</v>
      </c>
      <c r="C44" s="194">
        <v>1</v>
      </c>
      <c r="D44" s="194">
        <v>14</v>
      </c>
      <c r="E44" s="194">
        <v>0.98</v>
      </c>
      <c r="F44" s="194">
        <v>1</v>
      </c>
      <c r="G44" s="194">
        <v>17</v>
      </c>
      <c r="H44" s="194">
        <v>0.96399999999999997</v>
      </c>
      <c r="I44" s="194">
        <v>0.95</v>
      </c>
      <c r="J44" s="194">
        <v>20</v>
      </c>
      <c r="K44" s="194">
        <v>0.96599999999999997</v>
      </c>
      <c r="L44" s="194">
        <v>0.94699999999999995</v>
      </c>
      <c r="M44" s="194">
        <v>19</v>
      </c>
      <c r="N44" s="194">
        <v>0.98</v>
      </c>
      <c r="O44" s="194">
        <v>1</v>
      </c>
      <c r="P44" s="194">
        <v>19</v>
      </c>
      <c r="Q44" s="194">
        <v>0.93899999999999995</v>
      </c>
      <c r="R44" s="194">
        <v>1</v>
      </c>
      <c r="S44" s="194">
        <v>12</v>
      </c>
      <c r="T44" s="194">
        <v>0.91500000000000004</v>
      </c>
      <c r="U44" s="194">
        <v>0.83299999999999996</v>
      </c>
      <c r="V44" s="194">
        <v>18</v>
      </c>
      <c r="W44" s="194">
        <v>0.92100000000000004</v>
      </c>
      <c r="X44" s="194">
        <v>0.94099999999999995</v>
      </c>
      <c r="Y44" s="194">
        <v>17</v>
      </c>
      <c r="Z44" s="194">
        <v>0.93899999999999995</v>
      </c>
      <c r="AA44" s="194">
        <v>0.96399999999999997</v>
      </c>
      <c r="AB44" s="194">
        <v>28</v>
      </c>
      <c r="AC44" s="194">
        <v>0.95</v>
      </c>
      <c r="AD44" s="194">
        <v>0.90500000000000003</v>
      </c>
      <c r="AE44" s="194">
        <v>21</v>
      </c>
      <c r="AF44" s="194">
        <v>0.93500000000000005</v>
      </c>
      <c r="AG44" s="194">
        <v>0.96799999999999997</v>
      </c>
      <c r="AH44" s="194">
        <v>31</v>
      </c>
      <c r="AI44" s="194">
        <v>0.95099999999999996</v>
      </c>
      <c r="AJ44" s="194">
        <v>0.9</v>
      </c>
      <c r="AK44" s="194">
        <v>10</v>
      </c>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row>
    <row r="45" spans="1:61" x14ac:dyDescent="0.3">
      <c r="A45" s="193" t="s">
        <v>516</v>
      </c>
      <c r="B45" s="194">
        <v>0.72699999999999998</v>
      </c>
      <c r="C45" s="194">
        <v>0.61899999999999999</v>
      </c>
      <c r="D45" s="194">
        <v>21</v>
      </c>
      <c r="E45" s="194">
        <v>0.78600000000000003</v>
      </c>
      <c r="F45" s="194">
        <v>0.91700000000000004</v>
      </c>
      <c r="G45" s="194">
        <v>12</v>
      </c>
      <c r="H45" s="194">
        <v>0.88600000000000001</v>
      </c>
      <c r="I45" s="194">
        <v>1</v>
      </c>
      <c r="J45" s="194">
        <v>9</v>
      </c>
      <c r="K45" s="194">
        <v>0.83699999999999997</v>
      </c>
      <c r="L45" s="194">
        <v>0.78600000000000003</v>
      </c>
      <c r="M45" s="194">
        <v>14</v>
      </c>
      <c r="N45" s="194">
        <v>0.82199999999999995</v>
      </c>
      <c r="O45" s="194">
        <v>0.8</v>
      </c>
      <c r="P45" s="194">
        <v>20</v>
      </c>
      <c r="Q45" s="194">
        <v>0.82899999999999996</v>
      </c>
      <c r="R45" s="194">
        <v>0.90900000000000003</v>
      </c>
      <c r="S45" s="194">
        <v>11</v>
      </c>
      <c r="T45" s="194">
        <v>0.79400000000000004</v>
      </c>
      <c r="U45" s="194">
        <v>0.8</v>
      </c>
      <c r="V45" s="194">
        <v>10</v>
      </c>
      <c r="W45" s="194">
        <v>0.84199999999999997</v>
      </c>
      <c r="X45" s="194">
        <v>0.69199999999999995</v>
      </c>
      <c r="Y45" s="194">
        <v>13</v>
      </c>
      <c r="Z45" s="194">
        <v>0.90500000000000003</v>
      </c>
      <c r="AA45" s="194">
        <v>1</v>
      </c>
      <c r="AB45" s="194">
        <v>15</v>
      </c>
      <c r="AC45" s="194">
        <v>0.93</v>
      </c>
      <c r="AD45" s="194">
        <v>1</v>
      </c>
      <c r="AE45" s="194">
        <v>14</v>
      </c>
      <c r="AF45" s="194">
        <v>0.91700000000000004</v>
      </c>
      <c r="AG45" s="194">
        <v>0.78600000000000003</v>
      </c>
      <c r="AH45" s="194">
        <v>14</v>
      </c>
      <c r="AI45" s="194">
        <v>0.86399999999999999</v>
      </c>
      <c r="AJ45" s="194">
        <v>1</v>
      </c>
      <c r="AK45" s="194">
        <v>8</v>
      </c>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row>
    <row r="46" spans="1:61" x14ac:dyDescent="0.3">
      <c r="A46" s="193" t="s">
        <v>462</v>
      </c>
      <c r="B46" s="194">
        <v>0.53300000000000003</v>
      </c>
      <c r="C46" s="194">
        <v>0.375</v>
      </c>
      <c r="D46" s="194">
        <v>8</v>
      </c>
      <c r="E46" s="194">
        <v>0.58099999999999996</v>
      </c>
      <c r="F46" s="194">
        <v>0.71399999999999997</v>
      </c>
      <c r="G46" s="194">
        <v>7</v>
      </c>
      <c r="H46" s="194">
        <v>0.75800000000000001</v>
      </c>
      <c r="I46" s="194">
        <v>0.625</v>
      </c>
      <c r="J46" s="194">
        <v>16</v>
      </c>
      <c r="K46" s="194">
        <v>0.73499999999999999</v>
      </c>
      <c r="L46" s="194">
        <v>1</v>
      </c>
      <c r="M46" s="194">
        <v>10</v>
      </c>
      <c r="N46" s="194">
        <v>0.85299999999999998</v>
      </c>
      <c r="O46" s="194">
        <v>0.625</v>
      </c>
      <c r="P46" s="194">
        <v>8</v>
      </c>
      <c r="Q46" s="194">
        <v>0.8</v>
      </c>
      <c r="R46" s="194">
        <v>0.875</v>
      </c>
      <c r="S46" s="194">
        <v>16</v>
      </c>
      <c r="T46" s="194">
        <v>0.86699999999999999</v>
      </c>
      <c r="U46" s="194">
        <v>0.81299999999999994</v>
      </c>
      <c r="V46" s="194">
        <v>16</v>
      </c>
      <c r="W46" s="194">
        <v>0.89200000000000002</v>
      </c>
      <c r="X46" s="194">
        <v>0.92300000000000004</v>
      </c>
      <c r="Y46" s="194">
        <v>13</v>
      </c>
      <c r="Z46" s="194">
        <v>0.97299999999999998</v>
      </c>
      <c r="AA46" s="194">
        <v>1</v>
      </c>
      <c r="AB46" s="194">
        <v>8</v>
      </c>
      <c r="AC46" s="194">
        <v>0.97599999999999998</v>
      </c>
      <c r="AD46" s="194">
        <v>1</v>
      </c>
      <c r="AE46" s="194">
        <v>16</v>
      </c>
      <c r="AF46" s="194">
        <v>0.95299999999999996</v>
      </c>
      <c r="AG46" s="194">
        <v>0.94099999999999995</v>
      </c>
      <c r="AH46" s="194">
        <v>17</v>
      </c>
      <c r="AI46" s="194">
        <v>0.92600000000000005</v>
      </c>
      <c r="AJ46" s="194">
        <v>0.9</v>
      </c>
      <c r="AK46" s="194">
        <v>10</v>
      </c>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row>
    <row r="47" spans="1:61" x14ac:dyDescent="0.3">
      <c r="A47" s="193" t="s">
        <v>442</v>
      </c>
      <c r="B47" s="194">
        <v>1</v>
      </c>
      <c r="C47" s="194">
        <v>1</v>
      </c>
      <c r="D47" s="194">
        <v>12</v>
      </c>
      <c r="E47" s="194">
        <v>1</v>
      </c>
      <c r="F47" s="194">
        <v>1</v>
      </c>
      <c r="G47" s="194">
        <v>20</v>
      </c>
      <c r="H47" s="194">
        <v>1</v>
      </c>
      <c r="I47" s="194">
        <v>1</v>
      </c>
      <c r="J47" s="194">
        <v>15</v>
      </c>
      <c r="K47" s="194">
        <v>0.94699999999999995</v>
      </c>
      <c r="L47" s="194">
        <v>1</v>
      </c>
      <c r="M47" s="194">
        <v>13</v>
      </c>
      <c r="N47" s="194">
        <v>0.9</v>
      </c>
      <c r="O47" s="194">
        <v>0.8</v>
      </c>
      <c r="P47" s="194">
        <v>10</v>
      </c>
      <c r="Q47" s="194">
        <v>0.86699999999999999</v>
      </c>
      <c r="R47" s="194">
        <v>0.85699999999999998</v>
      </c>
      <c r="S47" s="194">
        <v>7</v>
      </c>
      <c r="T47" s="194">
        <v>0.94599999999999995</v>
      </c>
      <c r="U47" s="194">
        <v>0.92300000000000004</v>
      </c>
      <c r="V47" s="194">
        <v>13</v>
      </c>
      <c r="W47" s="194">
        <v>0.97599999999999998</v>
      </c>
      <c r="X47" s="194">
        <v>1</v>
      </c>
      <c r="Y47" s="194">
        <v>17</v>
      </c>
      <c r="Z47" s="194">
        <v>0.97499999999999998</v>
      </c>
      <c r="AA47" s="194">
        <v>1</v>
      </c>
      <c r="AB47" s="194">
        <v>12</v>
      </c>
      <c r="AC47" s="194">
        <v>0.97</v>
      </c>
      <c r="AD47" s="194">
        <v>0.90900000000000003</v>
      </c>
      <c r="AE47" s="194">
        <v>11</v>
      </c>
      <c r="AF47" s="194">
        <v>0.92300000000000004</v>
      </c>
      <c r="AG47" s="194">
        <v>1</v>
      </c>
      <c r="AH47" s="194">
        <v>10</v>
      </c>
      <c r="AI47" s="194">
        <v>0.92900000000000005</v>
      </c>
      <c r="AJ47" s="194">
        <v>0.88900000000000001</v>
      </c>
      <c r="AK47" s="194">
        <v>18</v>
      </c>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row>
    <row r="48" spans="1:61" x14ac:dyDescent="0.3">
      <c r="A48" s="193" t="s">
        <v>444</v>
      </c>
      <c r="B48" s="194">
        <v>1</v>
      </c>
      <c r="C48" s="194">
        <v>1</v>
      </c>
      <c r="D48" s="194">
        <v>18</v>
      </c>
      <c r="E48" s="194">
        <v>1</v>
      </c>
      <c r="F48" s="194">
        <v>1</v>
      </c>
      <c r="G48" s="194">
        <v>10</v>
      </c>
      <c r="H48" s="194">
        <v>1</v>
      </c>
      <c r="I48" s="194">
        <v>1</v>
      </c>
      <c r="J48" s="194">
        <v>17</v>
      </c>
      <c r="K48" s="194">
        <v>1</v>
      </c>
      <c r="L48" s="194">
        <v>1</v>
      </c>
      <c r="M48" s="194">
        <v>14</v>
      </c>
      <c r="N48" s="194">
        <v>1</v>
      </c>
      <c r="O48" s="194">
        <v>1</v>
      </c>
      <c r="P48" s="194">
        <v>18</v>
      </c>
      <c r="Q48" s="194">
        <v>1</v>
      </c>
      <c r="R48" s="194">
        <v>1</v>
      </c>
      <c r="S48" s="194">
        <v>15</v>
      </c>
      <c r="T48" s="194">
        <v>1</v>
      </c>
      <c r="U48" s="194">
        <v>1</v>
      </c>
      <c r="V48" s="194">
        <v>11</v>
      </c>
      <c r="W48" s="194">
        <v>1</v>
      </c>
      <c r="X48" s="194">
        <v>1</v>
      </c>
      <c r="Y48" s="194">
        <v>12</v>
      </c>
      <c r="Z48" s="194">
        <v>1</v>
      </c>
      <c r="AA48" s="194">
        <v>1</v>
      </c>
      <c r="AB48" s="194">
        <v>16</v>
      </c>
      <c r="AC48" s="194">
        <v>1</v>
      </c>
      <c r="AD48" s="194">
        <v>1</v>
      </c>
      <c r="AE48" s="194">
        <v>13</v>
      </c>
      <c r="AF48" s="194">
        <v>1</v>
      </c>
      <c r="AG48" s="194">
        <v>1</v>
      </c>
      <c r="AH48" s="194">
        <v>7</v>
      </c>
      <c r="AI48" s="194">
        <v>1</v>
      </c>
      <c r="AJ48" s="194">
        <v>1</v>
      </c>
      <c r="AK48" s="194">
        <v>19</v>
      </c>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row>
    <row r="49" spans="1:61" x14ac:dyDescent="0.3">
      <c r="A49" s="193" t="s">
        <v>364</v>
      </c>
      <c r="B49" s="194">
        <v>0.83299999999999996</v>
      </c>
      <c r="C49" s="194">
        <v>1</v>
      </c>
      <c r="D49" s="194">
        <v>2</v>
      </c>
      <c r="E49" s="194">
        <v>0.90900000000000003</v>
      </c>
      <c r="F49" s="194">
        <v>0.75</v>
      </c>
      <c r="G49" s="194">
        <v>4</v>
      </c>
      <c r="H49" s="194">
        <v>0.91700000000000004</v>
      </c>
      <c r="I49" s="194">
        <v>1</v>
      </c>
      <c r="J49" s="194">
        <v>5</v>
      </c>
      <c r="K49" s="194">
        <v>0.94399999999999995</v>
      </c>
      <c r="L49" s="194">
        <v>1</v>
      </c>
      <c r="M49" s="194">
        <v>3</v>
      </c>
      <c r="N49" s="194">
        <v>0.96199999999999997</v>
      </c>
      <c r="O49" s="194">
        <v>0.9</v>
      </c>
      <c r="P49" s="194">
        <v>10</v>
      </c>
      <c r="Q49" s="194">
        <v>0.98</v>
      </c>
      <c r="R49" s="194">
        <v>1</v>
      </c>
      <c r="S49" s="194">
        <v>13</v>
      </c>
      <c r="T49" s="194">
        <v>1</v>
      </c>
      <c r="U49" s="194">
        <v>1</v>
      </c>
      <c r="V49" s="194">
        <v>26</v>
      </c>
      <c r="W49" s="194">
        <v>0.98299999999999998</v>
      </c>
      <c r="X49" s="194">
        <v>1</v>
      </c>
      <c r="Y49" s="194">
        <v>16</v>
      </c>
      <c r="Z49" s="194">
        <v>0.98099999999999998</v>
      </c>
      <c r="AA49" s="194">
        <v>0.94399999999999995</v>
      </c>
      <c r="AB49" s="194">
        <v>18</v>
      </c>
      <c r="AC49" s="194">
        <v>0.97399999999999998</v>
      </c>
      <c r="AD49" s="194">
        <v>1</v>
      </c>
      <c r="AE49" s="194">
        <v>20</v>
      </c>
      <c r="AF49" s="194">
        <v>1</v>
      </c>
      <c r="AG49" s="194"/>
      <c r="AH49" s="194"/>
      <c r="AI49" s="194">
        <v>1</v>
      </c>
      <c r="AJ49" s="194">
        <v>1</v>
      </c>
      <c r="AK49" s="194">
        <v>1</v>
      </c>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row>
    <row r="50" spans="1:61" x14ac:dyDescent="0.3">
      <c r="A50" s="193" t="s">
        <v>392</v>
      </c>
      <c r="B50" s="194">
        <v>0.91700000000000004</v>
      </c>
      <c r="C50" s="194">
        <v>0.83299999999999996</v>
      </c>
      <c r="D50" s="194">
        <v>6</v>
      </c>
      <c r="E50" s="194">
        <v>0.875</v>
      </c>
      <c r="F50" s="194">
        <v>1</v>
      </c>
      <c r="G50" s="194">
        <v>6</v>
      </c>
      <c r="H50" s="194">
        <v>0.92900000000000005</v>
      </c>
      <c r="I50" s="194">
        <v>0.75</v>
      </c>
      <c r="J50" s="194">
        <v>4</v>
      </c>
      <c r="K50" s="194">
        <v>0.90900000000000003</v>
      </c>
      <c r="L50" s="194">
        <v>1</v>
      </c>
      <c r="M50" s="194">
        <v>4</v>
      </c>
      <c r="N50" s="194">
        <v>1</v>
      </c>
      <c r="O50" s="194">
        <v>1</v>
      </c>
      <c r="P50" s="194">
        <v>3</v>
      </c>
      <c r="Q50" s="194">
        <v>1</v>
      </c>
      <c r="R50" s="194">
        <v>1</v>
      </c>
      <c r="S50" s="194">
        <v>5</v>
      </c>
      <c r="T50" s="194">
        <v>1</v>
      </c>
      <c r="U50" s="194">
        <v>1</v>
      </c>
      <c r="V50" s="194">
        <v>4</v>
      </c>
      <c r="W50" s="194">
        <v>1</v>
      </c>
      <c r="X50" s="194">
        <v>1</v>
      </c>
      <c r="Y50" s="194">
        <v>6</v>
      </c>
      <c r="Z50" s="194">
        <v>1</v>
      </c>
      <c r="AA50" s="194">
        <v>1</v>
      </c>
      <c r="AB50" s="194">
        <v>5</v>
      </c>
      <c r="AC50" s="194">
        <v>0.93799999999999994</v>
      </c>
      <c r="AD50" s="194">
        <v>1</v>
      </c>
      <c r="AE50" s="194">
        <v>3</v>
      </c>
      <c r="AF50" s="194">
        <v>0.77800000000000002</v>
      </c>
      <c r="AG50" s="194">
        <v>0.875</v>
      </c>
      <c r="AH50" s="194">
        <v>8</v>
      </c>
      <c r="AI50" s="194">
        <v>0.73299999999999998</v>
      </c>
      <c r="AJ50" s="194">
        <v>0.57099999999999995</v>
      </c>
      <c r="AK50" s="194">
        <v>7</v>
      </c>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row>
    <row r="51" spans="1:61" x14ac:dyDescent="0.3">
      <c r="A51" s="193" t="s">
        <v>325</v>
      </c>
      <c r="B51" s="194">
        <v>1</v>
      </c>
      <c r="C51" s="194"/>
      <c r="D51" s="194"/>
      <c r="E51" s="194">
        <v>1</v>
      </c>
      <c r="F51" s="194">
        <v>1</v>
      </c>
      <c r="G51" s="194">
        <v>2</v>
      </c>
      <c r="H51" s="194">
        <v>1</v>
      </c>
      <c r="I51" s="194">
        <v>1</v>
      </c>
      <c r="J51" s="194">
        <v>1</v>
      </c>
      <c r="K51" s="194">
        <v>1</v>
      </c>
      <c r="L51" s="194"/>
      <c r="M51" s="194"/>
      <c r="N51" s="194">
        <v>1</v>
      </c>
      <c r="O51" s="194">
        <v>1</v>
      </c>
      <c r="P51" s="194">
        <v>2</v>
      </c>
      <c r="Q51" s="194">
        <v>1</v>
      </c>
      <c r="R51" s="194">
        <v>1</v>
      </c>
      <c r="S51" s="194">
        <v>3</v>
      </c>
      <c r="T51" s="194">
        <v>1</v>
      </c>
      <c r="U51" s="194">
        <v>1</v>
      </c>
      <c r="V51" s="194">
        <v>3</v>
      </c>
      <c r="W51" s="194">
        <v>1</v>
      </c>
      <c r="X51" s="194">
        <v>1</v>
      </c>
      <c r="Y51" s="194">
        <v>1</v>
      </c>
      <c r="Z51" s="194">
        <v>1</v>
      </c>
      <c r="AA51" s="194"/>
      <c r="AB51" s="194"/>
      <c r="AC51" s="194">
        <v>1</v>
      </c>
      <c r="AD51" s="194">
        <v>1</v>
      </c>
      <c r="AE51" s="194">
        <v>2</v>
      </c>
      <c r="AF51" s="194">
        <v>1</v>
      </c>
      <c r="AG51" s="194"/>
      <c r="AH51" s="194"/>
      <c r="AI51" s="194">
        <v>1</v>
      </c>
      <c r="AJ51" s="194">
        <v>1</v>
      </c>
      <c r="AK51" s="194">
        <v>2</v>
      </c>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row>
    <row r="52" spans="1:61" x14ac:dyDescent="0.3">
      <c r="A52" s="193" t="s">
        <v>478</v>
      </c>
      <c r="B52" s="194">
        <v>0.92700000000000005</v>
      </c>
      <c r="C52" s="194">
        <v>1</v>
      </c>
      <c r="D52" s="194">
        <v>20</v>
      </c>
      <c r="E52" s="194">
        <v>0.94699999999999995</v>
      </c>
      <c r="F52" s="194">
        <v>0.85699999999999998</v>
      </c>
      <c r="G52" s="194">
        <v>21</v>
      </c>
      <c r="H52" s="194">
        <v>0.94499999999999995</v>
      </c>
      <c r="I52" s="194">
        <v>1</v>
      </c>
      <c r="J52" s="194">
        <v>16</v>
      </c>
      <c r="K52" s="194">
        <v>0.97899999999999998</v>
      </c>
      <c r="L52" s="194">
        <v>1</v>
      </c>
      <c r="M52" s="194">
        <v>18</v>
      </c>
      <c r="N52" s="194">
        <v>0.97899999999999998</v>
      </c>
      <c r="O52" s="194">
        <v>0.92300000000000004</v>
      </c>
      <c r="P52" s="194">
        <v>13</v>
      </c>
      <c r="Q52" s="194">
        <v>0.98</v>
      </c>
      <c r="R52" s="194">
        <v>1</v>
      </c>
      <c r="S52" s="194">
        <v>16</v>
      </c>
      <c r="T52" s="194">
        <v>1</v>
      </c>
      <c r="U52" s="194">
        <v>1</v>
      </c>
      <c r="V52" s="194">
        <v>21</v>
      </c>
      <c r="W52" s="194">
        <v>1</v>
      </c>
      <c r="X52" s="194">
        <v>1</v>
      </c>
      <c r="Y52" s="194">
        <v>14</v>
      </c>
      <c r="Z52" s="194">
        <v>1</v>
      </c>
      <c r="AA52" s="194">
        <v>1</v>
      </c>
      <c r="AB52" s="194">
        <v>12</v>
      </c>
      <c r="AC52" s="194">
        <v>1</v>
      </c>
      <c r="AD52" s="194">
        <v>1</v>
      </c>
      <c r="AE52" s="194">
        <v>26</v>
      </c>
      <c r="AF52" s="194">
        <v>1</v>
      </c>
      <c r="AG52" s="194">
        <v>1</v>
      </c>
      <c r="AH52" s="194">
        <v>20</v>
      </c>
      <c r="AI52" s="194">
        <v>1</v>
      </c>
      <c r="AJ52" s="194">
        <v>1</v>
      </c>
      <c r="AK52" s="194">
        <v>32</v>
      </c>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row>
    <row r="53" spans="1:61" x14ac:dyDescent="0.3">
      <c r="A53" s="193" t="s">
        <v>474</v>
      </c>
      <c r="B53" s="194">
        <v>1</v>
      </c>
      <c r="C53" s="194">
        <v>1</v>
      </c>
      <c r="D53" s="194">
        <v>3</v>
      </c>
      <c r="E53" s="194">
        <v>1</v>
      </c>
      <c r="F53" s="194">
        <v>1</v>
      </c>
      <c r="G53" s="194">
        <v>5</v>
      </c>
      <c r="H53" s="194">
        <v>1</v>
      </c>
      <c r="I53" s="194">
        <v>1</v>
      </c>
      <c r="J53" s="194">
        <v>1</v>
      </c>
      <c r="K53" s="194">
        <v>1</v>
      </c>
      <c r="L53" s="194">
        <v>1</v>
      </c>
      <c r="M53" s="194">
        <v>3</v>
      </c>
      <c r="N53" s="194">
        <v>0.83299999999999996</v>
      </c>
      <c r="O53" s="194">
        <v>1</v>
      </c>
      <c r="P53" s="194">
        <v>1</v>
      </c>
      <c r="Q53" s="194">
        <v>0.6</v>
      </c>
      <c r="R53" s="194">
        <v>0.5</v>
      </c>
      <c r="S53" s="194">
        <v>2</v>
      </c>
      <c r="T53" s="194">
        <v>0.6</v>
      </c>
      <c r="U53" s="194">
        <v>0.5</v>
      </c>
      <c r="V53" s="194">
        <v>2</v>
      </c>
      <c r="W53" s="194">
        <v>0.83299999999999996</v>
      </c>
      <c r="X53" s="194">
        <v>1</v>
      </c>
      <c r="Y53" s="194">
        <v>1</v>
      </c>
      <c r="Z53" s="194">
        <v>0.875</v>
      </c>
      <c r="AA53" s="194">
        <v>1</v>
      </c>
      <c r="AB53" s="194">
        <v>3</v>
      </c>
      <c r="AC53" s="194">
        <v>0.8</v>
      </c>
      <c r="AD53" s="194">
        <v>0.75</v>
      </c>
      <c r="AE53" s="194">
        <v>4</v>
      </c>
      <c r="AF53" s="194">
        <v>0.75</v>
      </c>
      <c r="AG53" s="194">
        <v>0.66700000000000004</v>
      </c>
      <c r="AH53" s="194">
        <v>3</v>
      </c>
      <c r="AI53" s="194">
        <v>0.75</v>
      </c>
      <c r="AJ53" s="194">
        <v>1</v>
      </c>
      <c r="AK53" s="194">
        <v>1</v>
      </c>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row>
    <row r="54" spans="1:61" x14ac:dyDescent="0.3">
      <c r="A54" s="193" t="s">
        <v>532</v>
      </c>
      <c r="B54" s="194">
        <v>0.95099999999999996</v>
      </c>
      <c r="C54" s="194">
        <v>0.95799999999999996</v>
      </c>
      <c r="D54" s="194">
        <v>24</v>
      </c>
      <c r="E54" s="194">
        <v>0.94099999999999995</v>
      </c>
      <c r="F54" s="194">
        <v>0.94099999999999995</v>
      </c>
      <c r="G54" s="194">
        <v>17</v>
      </c>
      <c r="H54" s="194">
        <v>0.93799999999999994</v>
      </c>
      <c r="I54" s="194">
        <v>0.92600000000000005</v>
      </c>
      <c r="J54" s="194">
        <v>27</v>
      </c>
      <c r="K54" s="194">
        <v>0.93400000000000005</v>
      </c>
      <c r="L54" s="194">
        <v>0.95</v>
      </c>
      <c r="M54" s="194">
        <v>20</v>
      </c>
      <c r="N54" s="194">
        <v>0.96199999999999997</v>
      </c>
      <c r="O54" s="194">
        <v>0.92900000000000005</v>
      </c>
      <c r="P54" s="194">
        <v>14</v>
      </c>
      <c r="Q54" s="194">
        <v>0.96299999999999997</v>
      </c>
      <c r="R54" s="194">
        <v>1</v>
      </c>
      <c r="S54" s="194">
        <v>19</v>
      </c>
      <c r="T54" s="194">
        <v>0.94299999999999995</v>
      </c>
      <c r="U54" s="194">
        <v>0.95199999999999996</v>
      </c>
      <c r="V54" s="194">
        <v>21</v>
      </c>
      <c r="W54" s="194">
        <v>0.86399999999999999</v>
      </c>
      <c r="X54" s="194">
        <v>0.84599999999999997</v>
      </c>
      <c r="Y54" s="194">
        <v>13</v>
      </c>
      <c r="Z54" s="194">
        <v>0.82599999999999996</v>
      </c>
      <c r="AA54" s="194">
        <v>0.7</v>
      </c>
      <c r="AB54" s="194">
        <v>10</v>
      </c>
      <c r="AC54" s="194">
        <v>0.87</v>
      </c>
      <c r="AD54" s="194">
        <v>0.87</v>
      </c>
      <c r="AE54" s="194">
        <v>23</v>
      </c>
      <c r="AF54" s="194">
        <v>0.88600000000000001</v>
      </c>
      <c r="AG54" s="194">
        <v>0.95199999999999996</v>
      </c>
      <c r="AH54" s="194">
        <v>21</v>
      </c>
      <c r="AI54" s="194">
        <v>0.89400000000000002</v>
      </c>
      <c r="AJ54" s="194">
        <v>0.84599999999999997</v>
      </c>
      <c r="AK54" s="194">
        <v>26</v>
      </c>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row>
    <row r="55" spans="1:61" x14ac:dyDescent="0.3">
      <c r="A55" s="193" t="s">
        <v>429</v>
      </c>
      <c r="B55" s="194">
        <v>0.85699999999999998</v>
      </c>
      <c r="C55" s="194">
        <v>1</v>
      </c>
      <c r="D55" s="194">
        <v>3</v>
      </c>
      <c r="E55" s="194">
        <v>0.90900000000000003</v>
      </c>
      <c r="F55" s="194">
        <v>0.75</v>
      </c>
      <c r="G55" s="194">
        <v>4</v>
      </c>
      <c r="H55" s="194">
        <v>0.81799999999999995</v>
      </c>
      <c r="I55" s="194">
        <v>1</v>
      </c>
      <c r="J55" s="194">
        <v>4</v>
      </c>
      <c r="K55" s="194">
        <v>0.88900000000000001</v>
      </c>
      <c r="L55" s="194">
        <v>0.66700000000000004</v>
      </c>
      <c r="M55" s="194">
        <v>3</v>
      </c>
      <c r="N55" s="194">
        <v>0.85699999999999998</v>
      </c>
      <c r="O55" s="194">
        <v>1</v>
      </c>
      <c r="P55" s="194">
        <v>2</v>
      </c>
      <c r="Q55" s="194">
        <v>0.85699999999999998</v>
      </c>
      <c r="R55" s="194">
        <v>1</v>
      </c>
      <c r="S55" s="194">
        <v>2</v>
      </c>
      <c r="T55" s="194">
        <v>0.88900000000000001</v>
      </c>
      <c r="U55" s="194">
        <v>0.66700000000000004</v>
      </c>
      <c r="V55" s="194">
        <v>3</v>
      </c>
      <c r="W55" s="194">
        <v>0.86699999999999999</v>
      </c>
      <c r="X55" s="194">
        <v>1</v>
      </c>
      <c r="Y55" s="194">
        <v>4</v>
      </c>
      <c r="Z55" s="194">
        <v>0.875</v>
      </c>
      <c r="AA55" s="194">
        <v>0.875</v>
      </c>
      <c r="AB55" s="194">
        <v>8</v>
      </c>
      <c r="AC55" s="194">
        <v>0.86699999999999999</v>
      </c>
      <c r="AD55" s="194">
        <v>0.75</v>
      </c>
      <c r="AE55" s="194">
        <v>4</v>
      </c>
      <c r="AF55" s="194">
        <v>0.93799999999999994</v>
      </c>
      <c r="AG55" s="194">
        <v>1</v>
      </c>
      <c r="AH55" s="194">
        <v>3</v>
      </c>
      <c r="AI55" s="194">
        <v>1</v>
      </c>
      <c r="AJ55" s="194">
        <v>1</v>
      </c>
      <c r="AK55" s="194">
        <v>9</v>
      </c>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row>
    <row r="56" spans="1:61" x14ac:dyDescent="0.3">
      <c r="A56" s="193" t="s">
        <v>339</v>
      </c>
      <c r="B56" s="194">
        <v>0.8</v>
      </c>
      <c r="C56" s="194">
        <v>0.83299999999999996</v>
      </c>
      <c r="D56" s="194">
        <v>6</v>
      </c>
      <c r="E56" s="194">
        <v>0.66700000000000004</v>
      </c>
      <c r="F56" s="194">
        <v>0.75</v>
      </c>
      <c r="G56" s="194">
        <v>4</v>
      </c>
      <c r="H56" s="194">
        <v>0.42899999999999999</v>
      </c>
      <c r="I56" s="194">
        <v>0</v>
      </c>
      <c r="J56" s="194">
        <v>2</v>
      </c>
      <c r="K56" s="194">
        <v>0.4</v>
      </c>
      <c r="L56" s="194">
        <v>0</v>
      </c>
      <c r="M56" s="194">
        <v>1</v>
      </c>
      <c r="N56" s="194">
        <v>0.8</v>
      </c>
      <c r="O56" s="194">
        <v>1</v>
      </c>
      <c r="P56" s="194">
        <v>2</v>
      </c>
      <c r="Q56" s="194">
        <v>0.8</v>
      </c>
      <c r="R56" s="194">
        <v>1</v>
      </c>
      <c r="S56" s="194">
        <v>2</v>
      </c>
      <c r="T56" s="194">
        <v>0.8</v>
      </c>
      <c r="U56" s="194">
        <v>0</v>
      </c>
      <c r="V56" s="194">
        <v>1</v>
      </c>
      <c r="W56" s="194">
        <v>0.83299999999999996</v>
      </c>
      <c r="X56" s="194">
        <v>1</v>
      </c>
      <c r="Y56" s="194">
        <v>2</v>
      </c>
      <c r="Z56" s="194">
        <v>1</v>
      </c>
      <c r="AA56" s="194">
        <v>1</v>
      </c>
      <c r="AB56" s="194">
        <v>3</v>
      </c>
      <c r="AC56" s="194">
        <v>0.9</v>
      </c>
      <c r="AD56" s="194">
        <v>1</v>
      </c>
      <c r="AE56" s="194">
        <v>2</v>
      </c>
      <c r="AF56" s="194">
        <v>0.81799999999999995</v>
      </c>
      <c r="AG56" s="194">
        <v>0.8</v>
      </c>
      <c r="AH56" s="194">
        <v>5</v>
      </c>
      <c r="AI56" s="194">
        <v>0.77800000000000002</v>
      </c>
      <c r="AJ56" s="194">
        <v>0.75</v>
      </c>
      <c r="AK56" s="194">
        <v>4</v>
      </c>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row>
    <row r="57" spans="1:61" x14ac:dyDescent="0.3">
      <c r="A57" s="193" t="s">
        <v>318</v>
      </c>
      <c r="B57" s="194">
        <v>0.9</v>
      </c>
      <c r="C57" s="194">
        <v>0.8</v>
      </c>
      <c r="D57" s="194">
        <v>5</v>
      </c>
      <c r="E57" s="194">
        <v>0.84599999999999997</v>
      </c>
      <c r="F57" s="194">
        <v>1</v>
      </c>
      <c r="G57" s="194">
        <v>5</v>
      </c>
      <c r="H57" s="194">
        <v>0.90900000000000003</v>
      </c>
      <c r="I57" s="194">
        <v>0.66700000000000004</v>
      </c>
      <c r="J57" s="194">
        <v>3</v>
      </c>
      <c r="K57" s="194">
        <v>0.875</v>
      </c>
      <c r="L57" s="194">
        <v>1</v>
      </c>
      <c r="M57" s="194">
        <v>3</v>
      </c>
      <c r="N57" s="194">
        <v>1</v>
      </c>
      <c r="O57" s="194">
        <v>1</v>
      </c>
      <c r="P57" s="194">
        <v>2</v>
      </c>
      <c r="Q57" s="194">
        <v>1</v>
      </c>
      <c r="R57" s="194">
        <v>1</v>
      </c>
      <c r="S57" s="194">
        <v>6</v>
      </c>
      <c r="T57" s="194">
        <v>1</v>
      </c>
      <c r="U57" s="194">
        <v>1</v>
      </c>
      <c r="V57" s="194">
        <v>3</v>
      </c>
      <c r="W57" s="194">
        <v>1</v>
      </c>
      <c r="X57" s="194">
        <v>1</v>
      </c>
      <c r="Y57" s="194">
        <v>6</v>
      </c>
      <c r="Z57" s="194">
        <v>1</v>
      </c>
      <c r="AA57" s="194">
        <v>1</v>
      </c>
      <c r="AB57" s="194">
        <v>3</v>
      </c>
      <c r="AC57" s="194">
        <v>1</v>
      </c>
      <c r="AD57" s="194">
        <v>1</v>
      </c>
      <c r="AE57" s="194">
        <v>4</v>
      </c>
      <c r="AF57" s="194">
        <v>1</v>
      </c>
      <c r="AG57" s="194">
        <v>1</v>
      </c>
      <c r="AH57" s="194">
        <v>10</v>
      </c>
      <c r="AI57" s="194">
        <v>1</v>
      </c>
      <c r="AJ57" s="194">
        <v>1</v>
      </c>
      <c r="AK57" s="194">
        <v>3</v>
      </c>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row>
    <row r="58" spans="1:61" x14ac:dyDescent="0.3">
      <c r="A58" s="193" t="s">
        <v>384</v>
      </c>
      <c r="B58" s="194">
        <v>0.182</v>
      </c>
      <c r="C58" s="194">
        <v>0.111</v>
      </c>
      <c r="D58" s="194">
        <v>9</v>
      </c>
      <c r="E58" s="194">
        <v>0.29399999999999998</v>
      </c>
      <c r="F58" s="194">
        <v>0.23100000000000001</v>
      </c>
      <c r="G58" s="194">
        <v>13</v>
      </c>
      <c r="H58" s="194">
        <v>0.45500000000000002</v>
      </c>
      <c r="I58" s="194">
        <v>0.5</v>
      </c>
      <c r="J58" s="194">
        <v>12</v>
      </c>
      <c r="K58" s="194">
        <v>0.55600000000000005</v>
      </c>
      <c r="L58" s="194">
        <v>0.75</v>
      </c>
      <c r="M58" s="194">
        <v>8</v>
      </c>
      <c r="N58" s="194">
        <v>0.57699999999999996</v>
      </c>
      <c r="O58" s="194">
        <v>0.42899999999999999</v>
      </c>
      <c r="P58" s="194">
        <v>7</v>
      </c>
      <c r="Q58" s="194">
        <v>0.54300000000000004</v>
      </c>
      <c r="R58" s="194">
        <v>0.54500000000000004</v>
      </c>
      <c r="S58" s="194">
        <v>11</v>
      </c>
      <c r="T58" s="194">
        <v>0.625</v>
      </c>
      <c r="U58" s="194">
        <v>0.58799999999999997</v>
      </c>
      <c r="V58" s="194">
        <v>17</v>
      </c>
      <c r="W58" s="194">
        <v>0.52400000000000002</v>
      </c>
      <c r="X58" s="194">
        <v>0.75</v>
      </c>
      <c r="Y58" s="194">
        <v>12</v>
      </c>
      <c r="Z58" s="194">
        <v>0.36599999999999999</v>
      </c>
      <c r="AA58" s="194">
        <v>0.23100000000000001</v>
      </c>
      <c r="AB58" s="194">
        <v>13</v>
      </c>
      <c r="AC58" s="194">
        <v>0.20699999999999999</v>
      </c>
      <c r="AD58" s="194">
        <v>0.188</v>
      </c>
      <c r="AE58" s="194">
        <v>16</v>
      </c>
      <c r="AF58" s="194">
        <v>0.188</v>
      </c>
      <c r="AG58" s="194"/>
      <c r="AH58" s="194"/>
      <c r="AI58" s="194"/>
      <c r="AJ58" s="194"/>
      <c r="AK58" s="194"/>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row>
    <row r="59" spans="1:61" x14ac:dyDescent="0.3">
      <c r="A59" s="193" t="s">
        <v>464</v>
      </c>
      <c r="B59" s="194">
        <v>1</v>
      </c>
      <c r="C59" s="194">
        <v>1</v>
      </c>
      <c r="D59" s="194">
        <v>1</v>
      </c>
      <c r="E59" s="194">
        <v>1</v>
      </c>
      <c r="F59" s="194">
        <v>1</v>
      </c>
      <c r="G59" s="194">
        <v>7</v>
      </c>
      <c r="H59" s="194">
        <v>1</v>
      </c>
      <c r="I59" s="194">
        <v>1</v>
      </c>
      <c r="J59" s="194">
        <v>8</v>
      </c>
      <c r="K59" s="194">
        <v>1</v>
      </c>
      <c r="L59" s="194">
        <v>1</v>
      </c>
      <c r="M59" s="194">
        <v>7</v>
      </c>
      <c r="N59" s="194">
        <v>0.94699999999999995</v>
      </c>
      <c r="O59" s="194">
        <v>1</v>
      </c>
      <c r="P59" s="194">
        <v>6</v>
      </c>
      <c r="Q59" s="194">
        <v>0.93799999999999994</v>
      </c>
      <c r="R59" s="194">
        <v>0.83299999999999996</v>
      </c>
      <c r="S59" s="194">
        <v>6</v>
      </c>
      <c r="T59" s="194">
        <v>0.90900000000000003</v>
      </c>
      <c r="U59" s="194">
        <v>1</v>
      </c>
      <c r="V59" s="194">
        <v>4</v>
      </c>
      <c r="W59" s="194">
        <v>1</v>
      </c>
      <c r="X59" s="194">
        <v>1</v>
      </c>
      <c r="Y59" s="194">
        <v>1</v>
      </c>
      <c r="Z59" s="194">
        <v>1</v>
      </c>
      <c r="AA59" s="194">
        <v>1</v>
      </c>
      <c r="AB59" s="194">
        <v>7</v>
      </c>
      <c r="AC59" s="194">
        <v>0.93300000000000005</v>
      </c>
      <c r="AD59" s="194">
        <v>1</v>
      </c>
      <c r="AE59" s="194">
        <v>4</v>
      </c>
      <c r="AF59" s="194">
        <v>0.84599999999999997</v>
      </c>
      <c r="AG59" s="194">
        <v>0.75</v>
      </c>
      <c r="AH59" s="194">
        <v>4</v>
      </c>
      <c r="AI59" s="194">
        <v>0.77800000000000002</v>
      </c>
      <c r="AJ59" s="194">
        <v>0.8</v>
      </c>
      <c r="AK59" s="194">
        <v>5</v>
      </c>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row>
    <row r="60" spans="1:61" x14ac:dyDescent="0.3">
      <c r="A60" s="193" t="s">
        <v>439</v>
      </c>
      <c r="B60" s="194">
        <v>0.91200000000000003</v>
      </c>
      <c r="C60" s="194">
        <v>0.83299999999999996</v>
      </c>
      <c r="D60" s="194">
        <v>18</v>
      </c>
      <c r="E60" s="194">
        <v>0.94599999999999995</v>
      </c>
      <c r="F60" s="194">
        <v>1</v>
      </c>
      <c r="G60" s="194">
        <v>16</v>
      </c>
      <c r="H60" s="194">
        <v>1</v>
      </c>
      <c r="I60" s="194">
        <v>1</v>
      </c>
      <c r="J60" s="194">
        <v>22</v>
      </c>
      <c r="K60" s="194">
        <v>1</v>
      </c>
      <c r="L60" s="194">
        <v>1</v>
      </c>
      <c r="M60" s="194">
        <v>15</v>
      </c>
      <c r="N60" s="194">
        <v>1</v>
      </c>
      <c r="O60" s="194">
        <v>1</v>
      </c>
      <c r="P60" s="194">
        <v>15</v>
      </c>
      <c r="Q60" s="194">
        <v>0.98299999999999998</v>
      </c>
      <c r="R60" s="194">
        <v>1</v>
      </c>
      <c r="S60" s="194">
        <v>19</v>
      </c>
      <c r="T60" s="194">
        <v>0.98399999999999999</v>
      </c>
      <c r="U60" s="194">
        <v>0.96</v>
      </c>
      <c r="V60" s="194">
        <v>25</v>
      </c>
      <c r="W60" s="194">
        <v>0.96399999999999997</v>
      </c>
      <c r="X60" s="194">
        <v>1</v>
      </c>
      <c r="Y60" s="194">
        <v>19</v>
      </c>
      <c r="Z60" s="194">
        <v>0.98</v>
      </c>
      <c r="AA60" s="194">
        <v>0.91700000000000004</v>
      </c>
      <c r="AB60" s="194">
        <v>12</v>
      </c>
      <c r="AC60" s="194">
        <v>0.98</v>
      </c>
      <c r="AD60" s="194">
        <v>1</v>
      </c>
      <c r="AE60" s="194">
        <v>18</v>
      </c>
      <c r="AF60" s="194">
        <v>0.93200000000000005</v>
      </c>
      <c r="AG60" s="194">
        <v>1</v>
      </c>
      <c r="AH60" s="194">
        <v>21</v>
      </c>
      <c r="AI60" s="194">
        <v>0.90200000000000002</v>
      </c>
      <c r="AJ60" s="194">
        <v>0.8</v>
      </c>
      <c r="AK60" s="194">
        <v>20</v>
      </c>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row>
    <row r="61" spans="1:61" x14ac:dyDescent="0.3">
      <c r="A61" s="193" t="s">
        <v>522</v>
      </c>
      <c r="B61" s="194">
        <v>1</v>
      </c>
      <c r="C61" s="194">
        <v>1</v>
      </c>
      <c r="D61" s="194">
        <v>4</v>
      </c>
      <c r="E61" s="194">
        <v>1</v>
      </c>
      <c r="F61" s="194">
        <v>1</v>
      </c>
      <c r="G61" s="194">
        <v>1</v>
      </c>
      <c r="H61" s="194">
        <v>1</v>
      </c>
      <c r="I61" s="194">
        <v>1</v>
      </c>
      <c r="J61" s="194">
        <v>7</v>
      </c>
      <c r="K61" s="194">
        <v>1</v>
      </c>
      <c r="L61" s="194">
        <v>1</v>
      </c>
      <c r="M61" s="194">
        <v>4</v>
      </c>
      <c r="N61" s="194">
        <v>0.83299999999999996</v>
      </c>
      <c r="O61" s="194">
        <v>1</v>
      </c>
      <c r="P61" s="194">
        <v>3</v>
      </c>
      <c r="Q61" s="194">
        <v>0.83299999999999996</v>
      </c>
      <c r="R61" s="194">
        <v>0.6</v>
      </c>
      <c r="S61" s="194">
        <v>5</v>
      </c>
      <c r="T61" s="194">
        <v>0.88900000000000001</v>
      </c>
      <c r="U61" s="194">
        <v>1</v>
      </c>
      <c r="V61" s="194">
        <v>4</v>
      </c>
      <c r="W61" s="194">
        <v>1</v>
      </c>
      <c r="X61" s="194">
        <v>1</v>
      </c>
      <c r="Y61" s="194">
        <v>9</v>
      </c>
      <c r="Z61" s="194">
        <v>1</v>
      </c>
      <c r="AA61" s="194">
        <v>1</v>
      </c>
      <c r="AB61" s="194">
        <v>6</v>
      </c>
      <c r="AC61" s="194">
        <v>1</v>
      </c>
      <c r="AD61" s="194">
        <v>1</v>
      </c>
      <c r="AE61" s="194">
        <v>15</v>
      </c>
      <c r="AF61" s="194">
        <v>0.93100000000000005</v>
      </c>
      <c r="AG61" s="194">
        <v>1</v>
      </c>
      <c r="AH61" s="194">
        <v>7</v>
      </c>
      <c r="AI61" s="194">
        <v>0.85699999999999998</v>
      </c>
      <c r="AJ61" s="194">
        <v>0.71399999999999997</v>
      </c>
      <c r="AK61" s="194">
        <v>7</v>
      </c>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row>
    <row r="62" spans="1:61" x14ac:dyDescent="0.3">
      <c r="A62" s="193" t="s">
        <v>508</v>
      </c>
      <c r="B62" s="194">
        <v>0.5</v>
      </c>
      <c r="C62" s="194">
        <v>1</v>
      </c>
      <c r="D62" s="194">
        <v>1</v>
      </c>
      <c r="E62" s="194">
        <v>0.25</v>
      </c>
      <c r="F62" s="194">
        <v>0</v>
      </c>
      <c r="G62" s="194">
        <v>1</v>
      </c>
      <c r="H62" s="194">
        <v>0</v>
      </c>
      <c r="I62" s="194">
        <v>0</v>
      </c>
      <c r="J62" s="194">
        <v>2</v>
      </c>
      <c r="K62" s="194">
        <v>0.2</v>
      </c>
      <c r="L62" s="194"/>
      <c r="M62" s="194"/>
      <c r="N62" s="194">
        <v>0.33300000000000002</v>
      </c>
      <c r="O62" s="194">
        <v>0.33300000000000002</v>
      </c>
      <c r="P62" s="194">
        <v>3</v>
      </c>
      <c r="Q62" s="194">
        <v>0.5</v>
      </c>
      <c r="R62" s="194"/>
      <c r="S62" s="194"/>
      <c r="T62" s="194">
        <v>1</v>
      </c>
      <c r="U62" s="194">
        <v>1</v>
      </c>
      <c r="V62" s="194">
        <v>1</v>
      </c>
      <c r="W62" s="194">
        <v>1</v>
      </c>
      <c r="X62" s="194"/>
      <c r="Y62" s="194"/>
      <c r="Z62" s="194"/>
      <c r="AA62" s="194"/>
      <c r="AB62" s="194"/>
      <c r="AC62" s="194">
        <v>1</v>
      </c>
      <c r="AD62" s="194"/>
      <c r="AE62" s="194"/>
      <c r="AF62" s="194">
        <v>1</v>
      </c>
      <c r="AG62" s="194">
        <v>1</v>
      </c>
      <c r="AH62" s="194">
        <v>3</v>
      </c>
      <c r="AI62" s="194">
        <v>1</v>
      </c>
      <c r="AJ62" s="194">
        <v>1</v>
      </c>
      <c r="AK62" s="194">
        <v>2</v>
      </c>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row>
    <row r="63" spans="1:61" x14ac:dyDescent="0.3">
      <c r="A63" s="193" t="s">
        <v>506</v>
      </c>
      <c r="B63" s="194">
        <v>0.95799999999999996</v>
      </c>
      <c r="C63" s="194">
        <v>0.90900000000000003</v>
      </c>
      <c r="D63" s="194">
        <v>11</v>
      </c>
      <c r="E63" s="194">
        <v>0.97</v>
      </c>
      <c r="F63" s="194">
        <v>1</v>
      </c>
      <c r="G63" s="194">
        <v>13</v>
      </c>
      <c r="H63" s="194">
        <v>0.97299999999999998</v>
      </c>
      <c r="I63" s="194">
        <v>1</v>
      </c>
      <c r="J63" s="194">
        <v>9</v>
      </c>
      <c r="K63" s="194">
        <v>0.96899999999999997</v>
      </c>
      <c r="L63" s="194">
        <v>0.93300000000000005</v>
      </c>
      <c r="M63" s="194">
        <v>15</v>
      </c>
      <c r="N63" s="194">
        <v>0.97</v>
      </c>
      <c r="O63" s="194">
        <v>1</v>
      </c>
      <c r="P63" s="194">
        <v>8</v>
      </c>
      <c r="Q63" s="194">
        <v>1</v>
      </c>
      <c r="R63" s="194">
        <v>1</v>
      </c>
      <c r="S63" s="194">
        <v>10</v>
      </c>
      <c r="T63" s="194">
        <v>0.97</v>
      </c>
      <c r="U63" s="194">
        <v>1</v>
      </c>
      <c r="V63" s="194">
        <v>11</v>
      </c>
      <c r="W63" s="194">
        <v>0.93899999999999995</v>
      </c>
      <c r="X63" s="194">
        <v>0.91700000000000004</v>
      </c>
      <c r="Y63" s="194">
        <v>12</v>
      </c>
      <c r="Z63" s="194">
        <v>0.93899999999999995</v>
      </c>
      <c r="AA63" s="194">
        <v>0.9</v>
      </c>
      <c r="AB63" s="194">
        <v>10</v>
      </c>
      <c r="AC63" s="194">
        <v>0.90300000000000002</v>
      </c>
      <c r="AD63" s="194">
        <v>1</v>
      </c>
      <c r="AE63" s="194">
        <v>11</v>
      </c>
      <c r="AF63" s="194">
        <v>0.93899999999999995</v>
      </c>
      <c r="AG63" s="194">
        <v>0.8</v>
      </c>
      <c r="AH63" s="194">
        <v>10</v>
      </c>
      <c r="AI63" s="194">
        <v>0.90900000000000003</v>
      </c>
      <c r="AJ63" s="194">
        <v>1</v>
      </c>
      <c r="AK63" s="194">
        <v>12</v>
      </c>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row>
    <row r="64" spans="1:61" x14ac:dyDescent="0.3">
      <c r="A64" s="193" t="s">
        <v>550</v>
      </c>
      <c r="B64" s="194">
        <v>1</v>
      </c>
      <c r="C64" s="194">
        <v>1</v>
      </c>
      <c r="D64" s="194">
        <v>4</v>
      </c>
      <c r="E64" s="194">
        <v>1</v>
      </c>
      <c r="F64" s="194">
        <v>1</v>
      </c>
      <c r="G64" s="194">
        <v>1</v>
      </c>
      <c r="H64" s="194">
        <v>1</v>
      </c>
      <c r="I64" s="194">
        <v>1</v>
      </c>
      <c r="J64" s="194">
        <v>4</v>
      </c>
      <c r="K64" s="194">
        <v>1</v>
      </c>
      <c r="L64" s="194">
        <v>1</v>
      </c>
      <c r="M64" s="194">
        <v>5</v>
      </c>
      <c r="N64" s="194">
        <v>0.91700000000000004</v>
      </c>
      <c r="O64" s="194">
        <v>1</v>
      </c>
      <c r="P64" s="194">
        <v>6</v>
      </c>
      <c r="Q64" s="194">
        <v>0.88900000000000001</v>
      </c>
      <c r="R64" s="194">
        <v>0</v>
      </c>
      <c r="S64" s="194">
        <v>1</v>
      </c>
      <c r="T64" s="194">
        <v>0.71399999999999997</v>
      </c>
      <c r="U64" s="194">
        <v>1</v>
      </c>
      <c r="V64" s="194">
        <v>2</v>
      </c>
      <c r="W64" s="194">
        <v>0.875</v>
      </c>
      <c r="X64" s="194">
        <v>0.75</v>
      </c>
      <c r="Y64" s="194">
        <v>4</v>
      </c>
      <c r="Z64" s="194">
        <v>0.83299999999999996</v>
      </c>
      <c r="AA64" s="194">
        <v>1</v>
      </c>
      <c r="AB64" s="194">
        <v>2</v>
      </c>
      <c r="AC64" s="194">
        <v>0.92300000000000004</v>
      </c>
      <c r="AD64" s="194">
        <v>0.83299999999999996</v>
      </c>
      <c r="AE64" s="194">
        <v>6</v>
      </c>
      <c r="AF64" s="194">
        <v>0.94099999999999995</v>
      </c>
      <c r="AG64" s="194">
        <v>1</v>
      </c>
      <c r="AH64" s="194">
        <v>5</v>
      </c>
      <c r="AI64" s="194">
        <v>1</v>
      </c>
      <c r="AJ64" s="194">
        <v>1</v>
      </c>
      <c r="AK64" s="194">
        <v>6</v>
      </c>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row>
    <row r="65" spans="1:61" x14ac:dyDescent="0.3">
      <c r="A65" s="193" t="s">
        <v>356</v>
      </c>
      <c r="B65" s="194">
        <v>0.75</v>
      </c>
      <c r="C65" s="194">
        <v>0.5</v>
      </c>
      <c r="D65" s="194">
        <v>2</v>
      </c>
      <c r="E65" s="194">
        <v>0.77800000000000002</v>
      </c>
      <c r="F65" s="194">
        <v>0.83299999999999996</v>
      </c>
      <c r="G65" s="194">
        <v>6</v>
      </c>
      <c r="H65" s="194">
        <v>0.88900000000000001</v>
      </c>
      <c r="I65" s="194">
        <v>1</v>
      </c>
      <c r="J65" s="194">
        <v>1</v>
      </c>
      <c r="K65" s="194">
        <v>1</v>
      </c>
      <c r="L65" s="194">
        <v>1</v>
      </c>
      <c r="M65" s="194">
        <v>2</v>
      </c>
      <c r="N65" s="194">
        <v>1</v>
      </c>
      <c r="O65" s="194">
        <v>1</v>
      </c>
      <c r="P65" s="194">
        <v>1</v>
      </c>
      <c r="Q65" s="194">
        <v>1</v>
      </c>
      <c r="R65" s="194">
        <v>1</v>
      </c>
      <c r="S65" s="194">
        <v>2</v>
      </c>
      <c r="T65" s="194">
        <v>0.88900000000000001</v>
      </c>
      <c r="U65" s="194">
        <v>1</v>
      </c>
      <c r="V65" s="194">
        <v>1</v>
      </c>
      <c r="W65" s="194">
        <v>0.875</v>
      </c>
      <c r="X65" s="194">
        <v>0.83299999999999996</v>
      </c>
      <c r="Y65" s="194">
        <v>6</v>
      </c>
      <c r="Z65" s="194">
        <v>0.88900000000000001</v>
      </c>
      <c r="AA65" s="194">
        <v>1</v>
      </c>
      <c r="AB65" s="194">
        <v>1</v>
      </c>
      <c r="AC65" s="194">
        <v>1</v>
      </c>
      <c r="AD65" s="194">
        <v>1</v>
      </c>
      <c r="AE65" s="194">
        <v>2</v>
      </c>
      <c r="AF65" s="194">
        <v>1</v>
      </c>
      <c r="AG65" s="194">
        <v>1</v>
      </c>
      <c r="AH65" s="194">
        <v>2</v>
      </c>
      <c r="AI65" s="194">
        <v>1</v>
      </c>
      <c r="AJ65" s="194"/>
      <c r="AK65" s="194"/>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row>
    <row r="66" spans="1:61" x14ac:dyDescent="0.3">
      <c r="A66" s="193" t="s">
        <v>414</v>
      </c>
      <c r="B66" s="194">
        <v>0.875</v>
      </c>
      <c r="C66" s="194">
        <v>0.87</v>
      </c>
      <c r="D66" s="194">
        <v>23</v>
      </c>
      <c r="E66" s="194">
        <v>0.89100000000000001</v>
      </c>
      <c r="F66" s="194">
        <v>0.88900000000000001</v>
      </c>
      <c r="G66" s="194">
        <v>9</v>
      </c>
      <c r="H66" s="194">
        <v>0.84899999999999998</v>
      </c>
      <c r="I66" s="194">
        <v>0.91300000000000003</v>
      </c>
      <c r="J66" s="194">
        <v>23</v>
      </c>
      <c r="K66" s="194">
        <v>0.82699999999999996</v>
      </c>
      <c r="L66" s="194">
        <v>0.76200000000000001</v>
      </c>
      <c r="M66" s="194">
        <v>21</v>
      </c>
      <c r="N66" s="194">
        <v>0.73199999999999998</v>
      </c>
      <c r="O66" s="194">
        <v>0.75</v>
      </c>
      <c r="P66" s="194">
        <v>8</v>
      </c>
      <c r="Q66" s="194">
        <v>0.69</v>
      </c>
      <c r="R66" s="194">
        <v>0.66700000000000004</v>
      </c>
      <c r="S66" s="194">
        <v>12</v>
      </c>
      <c r="T66" s="194">
        <v>0.71899999999999997</v>
      </c>
      <c r="U66" s="194">
        <v>0.66700000000000004</v>
      </c>
      <c r="V66" s="194">
        <v>9</v>
      </c>
      <c r="W66" s="194">
        <v>0.82399999999999995</v>
      </c>
      <c r="X66" s="194">
        <v>0.81799999999999995</v>
      </c>
      <c r="Y66" s="194">
        <v>11</v>
      </c>
      <c r="Z66" s="194">
        <v>0.93899999999999995</v>
      </c>
      <c r="AA66" s="194">
        <v>0.92900000000000005</v>
      </c>
      <c r="AB66" s="194">
        <v>14</v>
      </c>
      <c r="AC66" s="194">
        <v>0.96399999999999997</v>
      </c>
      <c r="AD66" s="194">
        <v>1</v>
      </c>
      <c r="AE66" s="194">
        <v>24</v>
      </c>
      <c r="AF66" s="194">
        <v>0.95099999999999996</v>
      </c>
      <c r="AG66" s="194">
        <v>0.94099999999999995</v>
      </c>
      <c r="AH66" s="194">
        <v>17</v>
      </c>
      <c r="AI66" s="194">
        <v>0.91900000000000004</v>
      </c>
      <c r="AJ66" s="194">
        <v>0.9</v>
      </c>
      <c r="AK66" s="194">
        <v>20</v>
      </c>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row>
    <row r="67" spans="1:61" x14ac:dyDescent="0.3">
      <c r="A67" s="193" t="s">
        <v>456</v>
      </c>
      <c r="B67" s="194">
        <v>0.76900000000000002</v>
      </c>
      <c r="C67" s="194">
        <v>0.625</v>
      </c>
      <c r="D67" s="194">
        <v>16</v>
      </c>
      <c r="E67" s="194">
        <v>0.84199999999999997</v>
      </c>
      <c r="F67" s="194">
        <v>1</v>
      </c>
      <c r="G67" s="194">
        <v>10</v>
      </c>
      <c r="H67" s="194">
        <v>0.93500000000000005</v>
      </c>
      <c r="I67" s="194">
        <v>1</v>
      </c>
      <c r="J67" s="194">
        <v>12</v>
      </c>
      <c r="K67" s="194">
        <v>0.95799999999999996</v>
      </c>
      <c r="L67" s="194">
        <v>0.77800000000000002</v>
      </c>
      <c r="M67" s="194">
        <v>9</v>
      </c>
      <c r="N67" s="194">
        <v>0.94499999999999995</v>
      </c>
      <c r="O67" s="194">
        <v>1</v>
      </c>
      <c r="P67" s="194">
        <v>27</v>
      </c>
      <c r="Q67" s="194">
        <v>0.93</v>
      </c>
      <c r="R67" s="194">
        <v>0.94699999999999995</v>
      </c>
      <c r="S67" s="194">
        <v>19</v>
      </c>
      <c r="T67" s="194">
        <v>0.90700000000000003</v>
      </c>
      <c r="U67" s="194">
        <v>0.84</v>
      </c>
      <c r="V67" s="194">
        <v>25</v>
      </c>
      <c r="W67" s="194">
        <v>0.89900000000000002</v>
      </c>
      <c r="X67" s="194">
        <v>0.93500000000000005</v>
      </c>
      <c r="Y67" s="194">
        <v>31</v>
      </c>
      <c r="Z67" s="194">
        <v>0.93600000000000005</v>
      </c>
      <c r="AA67" s="194">
        <v>0.91300000000000003</v>
      </c>
      <c r="AB67" s="194">
        <v>23</v>
      </c>
      <c r="AC67" s="194">
        <v>0.91100000000000003</v>
      </c>
      <c r="AD67" s="194">
        <v>0.95799999999999996</v>
      </c>
      <c r="AE67" s="194">
        <v>24</v>
      </c>
      <c r="AF67" s="194">
        <v>0.89</v>
      </c>
      <c r="AG67" s="194">
        <v>0.875</v>
      </c>
      <c r="AH67" s="194">
        <v>32</v>
      </c>
      <c r="AI67" s="194">
        <v>0.86199999999999999</v>
      </c>
      <c r="AJ67" s="194">
        <v>0.84599999999999997</v>
      </c>
      <c r="AK67" s="194">
        <v>26</v>
      </c>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row>
    <row r="68" spans="1:61" x14ac:dyDescent="0.3">
      <c r="A68" s="193" t="s">
        <v>293</v>
      </c>
      <c r="B68" s="194">
        <v>0.8</v>
      </c>
      <c r="C68" s="194">
        <v>1</v>
      </c>
      <c r="D68" s="194">
        <v>3</v>
      </c>
      <c r="E68" s="194">
        <v>0.85699999999999998</v>
      </c>
      <c r="F68" s="194">
        <v>0.5</v>
      </c>
      <c r="G68" s="194">
        <v>2</v>
      </c>
      <c r="H68" s="194">
        <v>0.83299999999999996</v>
      </c>
      <c r="I68" s="194">
        <v>1</v>
      </c>
      <c r="J68" s="194">
        <v>2</v>
      </c>
      <c r="K68" s="194">
        <v>1</v>
      </c>
      <c r="L68" s="194">
        <v>1</v>
      </c>
      <c r="M68" s="194">
        <v>2</v>
      </c>
      <c r="N68" s="194">
        <v>1</v>
      </c>
      <c r="O68" s="194">
        <v>1</v>
      </c>
      <c r="P68" s="194">
        <v>3</v>
      </c>
      <c r="Q68" s="194">
        <v>1</v>
      </c>
      <c r="R68" s="194">
        <v>1</v>
      </c>
      <c r="S68" s="194">
        <v>11</v>
      </c>
      <c r="T68" s="194">
        <v>1</v>
      </c>
      <c r="U68" s="194">
        <v>1</v>
      </c>
      <c r="V68" s="194">
        <v>7</v>
      </c>
      <c r="W68" s="194">
        <v>1</v>
      </c>
      <c r="X68" s="194">
        <v>1</v>
      </c>
      <c r="Y68" s="194">
        <v>4</v>
      </c>
      <c r="Z68" s="194">
        <v>1</v>
      </c>
      <c r="AA68" s="194">
        <v>1</v>
      </c>
      <c r="AB68" s="194">
        <v>3</v>
      </c>
      <c r="AC68" s="194">
        <v>1</v>
      </c>
      <c r="AD68" s="194">
        <v>1</v>
      </c>
      <c r="AE68" s="194">
        <v>2</v>
      </c>
      <c r="AF68" s="194">
        <v>0.8</v>
      </c>
      <c r="AG68" s="194">
        <v>1</v>
      </c>
      <c r="AH68" s="194">
        <v>1</v>
      </c>
      <c r="AI68" s="194">
        <v>0.66700000000000004</v>
      </c>
      <c r="AJ68" s="194">
        <v>0.5</v>
      </c>
      <c r="AK68" s="194">
        <v>2</v>
      </c>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row>
    <row r="69" spans="1:61" x14ac:dyDescent="0.3">
      <c r="A69" s="193" t="s">
        <v>486</v>
      </c>
      <c r="B69" s="194">
        <v>1</v>
      </c>
      <c r="C69" s="194">
        <v>1</v>
      </c>
      <c r="D69" s="194">
        <v>3</v>
      </c>
      <c r="E69" s="194">
        <v>0.92300000000000004</v>
      </c>
      <c r="F69" s="194">
        <v>1</v>
      </c>
      <c r="G69" s="194">
        <v>6</v>
      </c>
      <c r="H69" s="194">
        <v>0.85699999999999998</v>
      </c>
      <c r="I69" s="194">
        <v>0.75</v>
      </c>
      <c r="J69" s="194">
        <v>4</v>
      </c>
      <c r="K69" s="194">
        <v>0.77800000000000002</v>
      </c>
      <c r="L69" s="194">
        <v>0.75</v>
      </c>
      <c r="M69" s="194">
        <v>4</v>
      </c>
      <c r="N69" s="194">
        <v>0.88900000000000001</v>
      </c>
      <c r="O69" s="194">
        <v>1</v>
      </c>
      <c r="P69" s="194">
        <v>1</v>
      </c>
      <c r="Q69" s="194">
        <v>1</v>
      </c>
      <c r="R69" s="194">
        <v>1</v>
      </c>
      <c r="S69" s="194">
        <v>4</v>
      </c>
      <c r="T69" s="194">
        <v>0.93799999999999994</v>
      </c>
      <c r="U69" s="194">
        <v>1</v>
      </c>
      <c r="V69" s="194">
        <v>6</v>
      </c>
      <c r="W69" s="194">
        <v>0.93300000000000005</v>
      </c>
      <c r="X69" s="194">
        <v>0.83299999999999996</v>
      </c>
      <c r="Y69" s="194">
        <v>6</v>
      </c>
      <c r="Z69" s="194">
        <v>0.92300000000000004</v>
      </c>
      <c r="AA69" s="194">
        <v>1</v>
      </c>
      <c r="AB69" s="194">
        <v>3</v>
      </c>
      <c r="AC69" s="194">
        <v>1</v>
      </c>
      <c r="AD69" s="194">
        <v>1</v>
      </c>
      <c r="AE69" s="194">
        <v>4</v>
      </c>
      <c r="AF69" s="194">
        <v>1</v>
      </c>
      <c r="AG69" s="194">
        <v>1</v>
      </c>
      <c r="AH69" s="194">
        <v>3</v>
      </c>
      <c r="AI69" s="194">
        <v>1</v>
      </c>
      <c r="AJ69" s="194"/>
      <c r="AK69" s="194"/>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row>
    <row r="70" spans="1:61" x14ac:dyDescent="0.3">
      <c r="A70" s="193" t="s">
        <v>362</v>
      </c>
      <c r="B70" s="194">
        <v>1</v>
      </c>
      <c r="C70" s="194">
        <v>1</v>
      </c>
      <c r="D70" s="194">
        <v>5</v>
      </c>
      <c r="E70" s="194">
        <v>1</v>
      </c>
      <c r="F70" s="194">
        <v>1</v>
      </c>
      <c r="G70" s="194">
        <v>4</v>
      </c>
      <c r="H70" s="194">
        <v>1</v>
      </c>
      <c r="I70" s="194">
        <v>1</v>
      </c>
      <c r="J70" s="194">
        <v>3</v>
      </c>
      <c r="K70" s="194">
        <v>1</v>
      </c>
      <c r="L70" s="194">
        <v>1</v>
      </c>
      <c r="M70" s="194">
        <v>9</v>
      </c>
      <c r="N70" s="194">
        <v>0.95</v>
      </c>
      <c r="O70" s="194">
        <v>1</v>
      </c>
      <c r="P70" s="194">
        <v>4</v>
      </c>
      <c r="Q70" s="194">
        <v>0.93799999999999994</v>
      </c>
      <c r="R70" s="194">
        <v>0.85699999999999998</v>
      </c>
      <c r="S70" s="194">
        <v>7</v>
      </c>
      <c r="T70" s="194">
        <v>0.8</v>
      </c>
      <c r="U70" s="194">
        <v>1</v>
      </c>
      <c r="V70" s="194">
        <v>5</v>
      </c>
      <c r="W70" s="194">
        <v>0.81799999999999995</v>
      </c>
      <c r="X70" s="194">
        <v>0.33300000000000002</v>
      </c>
      <c r="Y70" s="194">
        <v>3</v>
      </c>
      <c r="Z70" s="194">
        <v>0.69199999999999995</v>
      </c>
      <c r="AA70" s="194">
        <v>1</v>
      </c>
      <c r="AB70" s="194">
        <v>3</v>
      </c>
      <c r="AC70" s="194">
        <v>0.84599999999999997</v>
      </c>
      <c r="AD70" s="194">
        <v>0.71399999999999997</v>
      </c>
      <c r="AE70" s="194">
        <v>7</v>
      </c>
      <c r="AF70" s="194">
        <v>0.84599999999999997</v>
      </c>
      <c r="AG70" s="194">
        <v>1</v>
      </c>
      <c r="AH70" s="194">
        <v>3</v>
      </c>
      <c r="AI70" s="194">
        <v>1</v>
      </c>
      <c r="AJ70" s="194">
        <v>1</v>
      </c>
      <c r="AK70" s="194">
        <v>3</v>
      </c>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row>
    <row r="71" spans="1:61" x14ac:dyDescent="0.3">
      <c r="A71" s="193" t="s">
        <v>367</v>
      </c>
      <c r="B71" s="194">
        <v>1</v>
      </c>
      <c r="C71" s="194">
        <v>1</v>
      </c>
      <c r="D71" s="194">
        <v>9</v>
      </c>
      <c r="E71" s="194">
        <v>0.96299999999999997</v>
      </c>
      <c r="F71" s="194">
        <v>1</v>
      </c>
      <c r="G71" s="194">
        <v>11</v>
      </c>
      <c r="H71" s="194">
        <v>0.96299999999999997</v>
      </c>
      <c r="I71" s="194">
        <v>0.85699999999999998</v>
      </c>
      <c r="J71" s="194">
        <v>7</v>
      </c>
      <c r="K71" s="194">
        <v>0.90500000000000003</v>
      </c>
      <c r="L71" s="194">
        <v>1</v>
      </c>
      <c r="M71" s="194">
        <v>9</v>
      </c>
      <c r="N71" s="194">
        <v>0.91700000000000004</v>
      </c>
      <c r="O71" s="194">
        <v>0.8</v>
      </c>
      <c r="P71" s="194">
        <v>5</v>
      </c>
      <c r="Q71" s="194">
        <v>0.93100000000000005</v>
      </c>
      <c r="R71" s="194">
        <v>0.9</v>
      </c>
      <c r="S71" s="194">
        <v>10</v>
      </c>
      <c r="T71" s="194">
        <v>0.96799999999999997</v>
      </c>
      <c r="U71" s="194">
        <v>1</v>
      </c>
      <c r="V71" s="194">
        <v>14</v>
      </c>
      <c r="W71" s="194">
        <v>0.96699999999999997</v>
      </c>
      <c r="X71" s="194">
        <v>1</v>
      </c>
      <c r="Y71" s="194">
        <v>7</v>
      </c>
      <c r="Z71" s="194">
        <v>0.94399999999999995</v>
      </c>
      <c r="AA71" s="194">
        <v>0.88900000000000001</v>
      </c>
      <c r="AB71" s="194">
        <v>9</v>
      </c>
      <c r="AC71" s="194">
        <v>0.92</v>
      </c>
      <c r="AD71" s="194">
        <v>1</v>
      </c>
      <c r="AE71" s="194">
        <v>2</v>
      </c>
      <c r="AF71" s="194">
        <v>0.95</v>
      </c>
      <c r="AG71" s="194">
        <v>0.92900000000000005</v>
      </c>
      <c r="AH71" s="194">
        <v>14</v>
      </c>
      <c r="AI71" s="194">
        <v>0.94399999999999995</v>
      </c>
      <c r="AJ71" s="194">
        <v>1</v>
      </c>
      <c r="AK71" s="194">
        <v>4</v>
      </c>
      <c r="AL71" s="55"/>
      <c r="AM71" s="55"/>
      <c r="AN71" s="55"/>
      <c r="AO71" s="55"/>
      <c r="AP71" s="55"/>
      <c r="AQ71" s="55"/>
      <c r="AR71" s="55"/>
      <c r="AS71" s="55"/>
      <c r="AT71" s="55"/>
      <c r="AU71" s="55"/>
      <c r="AV71" s="55"/>
      <c r="AW71" s="55"/>
      <c r="AX71" s="55"/>
      <c r="AY71" s="55"/>
      <c r="AZ71" s="55"/>
      <c r="BA71" s="55"/>
      <c r="BB71" s="55"/>
      <c r="BC71" s="55"/>
      <c r="BD71" s="55"/>
      <c r="BE71" s="55"/>
      <c r="BF71" s="55"/>
      <c r="BG71" s="55"/>
      <c r="BH71" s="55"/>
      <c r="BI71" s="55"/>
    </row>
    <row r="72" spans="1:61" x14ac:dyDescent="0.3">
      <c r="A72" s="193" t="s">
        <v>327</v>
      </c>
      <c r="B72" s="194">
        <v>1</v>
      </c>
      <c r="C72" s="194"/>
      <c r="D72" s="194"/>
      <c r="E72" s="194">
        <v>1</v>
      </c>
      <c r="F72" s="194">
        <v>1</v>
      </c>
      <c r="G72" s="194">
        <v>8</v>
      </c>
      <c r="H72" s="194">
        <v>1</v>
      </c>
      <c r="I72" s="194">
        <v>1</v>
      </c>
      <c r="J72" s="194">
        <v>10</v>
      </c>
      <c r="K72" s="194">
        <v>1</v>
      </c>
      <c r="L72" s="194">
        <v>1</v>
      </c>
      <c r="M72" s="194">
        <v>5</v>
      </c>
      <c r="N72" s="194">
        <v>1</v>
      </c>
      <c r="O72" s="194">
        <v>1</v>
      </c>
      <c r="P72" s="194">
        <v>7</v>
      </c>
      <c r="Q72" s="194">
        <v>0.95699999999999996</v>
      </c>
      <c r="R72" s="194">
        <v>1</v>
      </c>
      <c r="S72" s="194">
        <v>9</v>
      </c>
      <c r="T72" s="194">
        <v>0.95</v>
      </c>
      <c r="U72" s="194">
        <v>0.85699999999999998</v>
      </c>
      <c r="V72" s="194">
        <v>7</v>
      </c>
      <c r="W72" s="194">
        <v>0.95199999999999996</v>
      </c>
      <c r="X72" s="194">
        <v>1</v>
      </c>
      <c r="Y72" s="194">
        <v>4</v>
      </c>
      <c r="Z72" s="194">
        <v>1</v>
      </c>
      <c r="AA72" s="194">
        <v>1</v>
      </c>
      <c r="AB72" s="194">
        <v>10</v>
      </c>
      <c r="AC72" s="194">
        <v>1</v>
      </c>
      <c r="AD72" s="194">
        <v>1</v>
      </c>
      <c r="AE72" s="194">
        <v>11</v>
      </c>
      <c r="AF72" s="194">
        <v>1</v>
      </c>
      <c r="AG72" s="194">
        <v>1</v>
      </c>
      <c r="AH72" s="194">
        <v>10</v>
      </c>
      <c r="AI72" s="194">
        <v>1</v>
      </c>
      <c r="AJ72" s="194">
        <v>1</v>
      </c>
      <c r="AK72" s="194">
        <v>7</v>
      </c>
      <c r="AL72" s="55"/>
      <c r="AM72" s="55"/>
      <c r="AN72" s="55"/>
      <c r="AO72" s="55"/>
      <c r="AP72" s="55"/>
      <c r="AQ72" s="55"/>
      <c r="AR72" s="55"/>
      <c r="AS72" s="55"/>
      <c r="AT72" s="55"/>
      <c r="AU72" s="55"/>
      <c r="AV72" s="55"/>
      <c r="AW72" s="55"/>
      <c r="AX72" s="55"/>
      <c r="AY72" s="55"/>
      <c r="AZ72" s="55"/>
      <c r="BA72" s="55"/>
      <c r="BB72" s="55"/>
      <c r="BC72" s="55"/>
      <c r="BD72" s="55"/>
      <c r="BE72" s="55"/>
      <c r="BF72" s="55"/>
      <c r="BG72" s="55"/>
      <c r="BH72" s="55"/>
      <c r="BI72" s="55"/>
    </row>
    <row r="73" spans="1:61" x14ac:dyDescent="0.3">
      <c r="A73" s="193" t="s">
        <v>492</v>
      </c>
      <c r="B73" s="194">
        <v>1</v>
      </c>
      <c r="C73" s="194">
        <v>1</v>
      </c>
      <c r="D73" s="194">
        <v>11</v>
      </c>
      <c r="E73" s="194">
        <v>1</v>
      </c>
      <c r="F73" s="194">
        <v>1</v>
      </c>
      <c r="G73" s="194">
        <v>7</v>
      </c>
      <c r="H73" s="194">
        <v>0.93799999999999994</v>
      </c>
      <c r="I73" s="194">
        <v>1</v>
      </c>
      <c r="J73" s="194">
        <v>9</v>
      </c>
      <c r="K73" s="194">
        <v>0.92500000000000004</v>
      </c>
      <c r="L73" s="194">
        <v>0.875</v>
      </c>
      <c r="M73" s="194">
        <v>16</v>
      </c>
      <c r="N73" s="194">
        <v>0.93200000000000005</v>
      </c>
      <c r="O73" s="194">
        <v>0.93300000000000005</v>
      </c>
      <c r="P73" s="194">
        <v>15</v>
      </c>
      <c r="Q73" s="194">
        <v>0.97099999999999997</v>
      </c>
      <c r="R73" s="194">
        <v>1</v>
      </c>
      <c r="S73" s="194">
        <v>13</v>
      </c>
      <c r="T73" s="194">
        <v>0.95799999999999996</v>
      </c>
      <c r="U73" s="194">
        <v>1</v>
      </c>
      <c r="V73" s="194">
        <v>7</v>
      </c>
      <c r="W73" s="194">
        <v>0.94699999999999995</v>
      </c>
      <c r="X73" s="194">
        <v>0.75</v>
      </c>
      <c r="Y73" s="194">
        <v>4</v>
      </c>
      <c r="Z73" s="194">
        <v>0.96199999999999997</v>
      </c>
      <c r="AA73" s="194">
        <v>1</v>
      </c>
      <c r="AB73" s="194">
        <v>8</v>
      </c>
      <c r="AC73" s="194">
        <v>1</v>
      </c>
      <c r="AD73" s="194">
        <v>1</v>
      </c>
      <c r="AE73" s="194">
        <v>14</v>
      </c>
      <c r="AF73" s="194">
        <v>0.96599999999999997</v>
      </c>
      <c r="AG73" s="194">
        <v>1</v>
      </c>
      <c r="AH73" s="194">
        <v>10</v>
      </c>
      <c r="AI73" s="194">
        <v>0.93300000000000005</v>
      </c>
      <c r="AJ73" s="194">
        <v>0.8</v>
      </c>
      <c r="AK73" s="194">
        <v>5</v>
      </c>
      <c r="AL73" s="55"/>
      <c r="AM73" s="55"/>
      <c r="AN73" s="55"/>
      <c r="AO73" s="55"/>
      <c r="AP73" s="55"/>
      <c r="AQ73" s="55"/>
      <c r="AR73" s="55"/>
      <c r="AS73" s="55"/>
      <c r="AT73" s="55"/>
      <c r="AU73" s="55"/>
      <c r="AV73" s="55"/>
      <c r="AW73" s="55"/>
      <c r="AX73" s="55"/>
      <c r="AY73" s="55"/>
      <c r="AZ73" s="55"/>
      <c r="BA73" s="55"/>
      <c r="BB73" s="55"/>
      <c r="BC73" s="55"/>
      <c r="BD73" s="55"/>
      <c r="BE73" s="55"/>
      <c r="BF73" s="55"/>
      <c r="BG73" s="55"/>
      <c r="BH73" s="55"/>
      <c r="BI73" s="55"/>
    </row>
    <row r="74" spans="1:61" x14ac:dyDescent="0.3">
      <c r="A74" s="193" t="s">
        <v>418</v>
      </c>
      <c r="B74" s="194">
        <v>0.93300000000000005</v>
      </c>
      <c r="C74" s="194">
        <v>1</v>
      </c>
      <c r="D74" s="194">
        <v>8</v>
      </c>
      <c r="E74" s="194">
        <v>0.95199999999999996</v>
      </c>
      <c r="F74" s="194">
        <v>0.85699999999999998</v>
      </c>
      <c r="G74" s="194">
        <v>7</v>
      </c>
      <c r="H74" s="194">
        <v>0.94099999999999995</v>
      </c>
      <c r="I74" s="194">
        <v>1</v>
      </c>
      <c r="J74" s="194">
        <v>6</v>
      </c>
      <c r="K74" s="194">
        <v>1</v>
      </c>
      <c r="L74" s="194">
        <v>1</v>
      </c>
      <c r="M74" s="194">
        <v>4</v>
      </c>
      <c r="N74" s="194">
        <v>1</v>
      </c>
      <c r="O74" s="194">
        <v>1</v>
      </c>
      <c r="P74" s="194">
        <v>5</v>
      </c>
      <c r="Q74" s="194">
        <v>0.94099999999999995</v>
      </c>
      <c r="R74" s="194">
        <v>1</v>
      </c>
      <c r="S74" s="194">
        <v>5</v>
      </c>
      <c r="T74" s="194">
        <v>0.95199999999999996</v>
      </c>
      <c r="U74" s="194">
        <v>0.85699999999999998</v>
      </c>
      <c r="V74" s="194">
        <v>7</v>
      </c>
      <c r="W74" s="194">
        <v>0.95499999999999996</v>
      </c>
      <c r="X74" s="194">
        <v>1</v>
      </c>
      <c r="Y74" s="194">
        <v>9</v>
      </c>
      <c r="Z74" s="194">
        <v>1</v>
      </c>
      <c r="AA74" s="194">
        <v>1</v>
      </c>
      <c r="AB74" s="194">
        <v>6</v>
      </c>
      <c r="AC74" s="194">
        <v>0.94099999999999995</v>
      </c>
      <c r="AD74" s="194">
        <v>1</v>
      </c>
      <c r="AE74" s="194">
        <v>5</v>
      </c>
      <c r="AF74" s="194">
        <v>0.93300000000000005</v>
      </c>
      <c r="AG74" s="194">
        <v>0.83299999999999996</v>
      </c>
      <c r="AH74" s="194">
        <v>6</v>
      </c>
      <c r="AI74" s="194">
        <v>0.9</v>
      </c>
      <c r="AJ74" s="194">
        <v>1</v>
      </c>
      <c r="AK74" s="194">
        <v>4</v>
      </c>
      <c r="AL74" s="55"/>
      <c r="AM74" s="55"/>
      <c r="AN74" s="55"/>
      <c r="AO74" s="55"/>
      <c r="AP74" s="55"/>
      <c r="AQ74" s="55"/>
      <c r="AR74" s="55"/>
      <c r="AS74" s="55"/>
      <c r="AT74" s="55"/>
      <c r="AU74" s="55"/>
      <c r="AV74" s="55"/>
      <c r="AW74" s="55"/>
      <c r="AX74" s="55"/>
      <c r="AY74" s="55"/>
      <c r="AZ74" s="55"/>
      <c r="BA74" s="55"/>
      <c r="BB74" s="55"/>
      <c r="BC74" s="55"/>
      <c r="BD74" s="55"/>
      <c r="BE74" s="55"/>
      <c r="BF74" s="55"/>
      <c r="BG74" s="55"/>
      <c r="BH74" s="55"/>
      <c r="BI74" s="55"/>
    </row>
    <row r="75" spans="1:61" x14ac:dyDescent="0.3">
      <c r="A75" s="193" t="s">
        <v>382</v>
      </c>
      <c r="B75" s="194">
        <v>1</v>
      </c>
      <c r="C75" s="194">
        <v>1</v>
      </c>
      <c r="D75" s="194">
        <v>3</v>
      </c>
      <c r="E75" s="194">
        <v>1</v>
      </c>
      <c r="F75" s="194">
        <v>1</v>
      </c>
      <c r="G75" s="194">
        <v>7</v>
      </c>
      <c r="H75" s="194">
        <v>0.95499999999999996</v>
      </c>
      <c r="I75" s="194">
        <v>1</v>
      </c>
      <c r="J75" s="194">
        <v>8</v>
      </c>
      <c r="K75" s="194">
        <v>0.92900000000000005</v>
      </c>
      <c r="L75" s="194">
        <v>0.85699999999999998</v>
      </c>
      <c r="M75" s="194">
        <v>7</v>
      </c>
      <c r="N75" s="194">
        <v>0.92600000000000005</v>
      </c>
      <c r="O75" s="194">
        <v>0.92300000000000004</v>
      </c>
      <c r="P75" s="194">
        <v>13</v>
      </c>
      <c r="Q75" s="194">
        <v>0.96199999999999997</v>
      </c>
      <c r="R75" s="194">
        <v>1</v>
      </c>
      <c r="S75" s="194">
        <v>7</v>
      </c>
      <c r="T75" s="194">
        <v>1</v>
      </c>
      <c r="U75" s="194">
        <v>1</v>
      </c>
      <c r="V75" s="194">
        <v>6</v>
      </c>
      <c r="W75" s="194">
        <v>0.84199999999999997</v>
      </c>
      <c r="X75" s="194">
        <v>1</v>
      </c>
      <c r="Y75" s="194">
        <v>4</v>
      </c>
      <c r="Z75" s="194">
        <v>0.86399999999999999</v>
      </c>
      <c r="AA75" s="194">
        <v>0.66700000000000004</v>
      </c>
      <c r="AB75" s="194">
        <v>9</v>
      </c>
      <c r="AC75" s="194">
        <v>0.9</v>
      </c>
      <c r="AD75" s="194">
        <v>1</v>
      </c>
      <c r="AE75" s="194">
        <v>9</v>
      </c>
      <c r="AF75" s="194">
        <v>0.96799999999999997</v>
      </c>
      <c r="AG75" s="194">
        <v>1</v>
      </c>
      <c r="AH75" s="194">
        <v>12</v>
      </c>
      <c r="AI75" s="194">
        <v>0.95499999999999996</v>
      </c>
      <c r="AJ75" s="194">
        <v>0.9</v>
      </c>
      <c r="AK75" s="194">
        <v>10</v>
      </c>
      <c r="AL75" s="55"/>
      <c r="AM75" s="55"/>
      <c r="AN75" s="55"/>
      <c r="AO75" s="55"/>
      <c r="AP75" s="55"/>
      <c r="AQ75" s="55"/>
      <c r="AR75" s="55"/>
      <c r="AS75" s="55"/>
      <c r="AT75" s="55"/>
      <c r="AU75" s="55"/>
      <c r="AV75" s="55"/>
      <c r="AW75" s="55"/>
      <c r="AX75" s="55"/>
      <c r="AY75" s="55"/>
      <c r="AZ75" s="55"/>
      <c r="BA75" s="55"/>
      <c r="BB75" s="55"/>
      <c r="BC75" s="55"/>
      <c r="BD75" s="55"/>
      <c r="BE75" s="55"/>
      <c r="BF75" s="55"/>
      <c r="BG75" s="55"/>
      <c r="BH75" s="55"/>
      <c r="BI75" s="55"/>
    </row>
    <row r="76" spans="1:61" x14ac:dyDescent="0.3">
      <c r="A76" s="193" t="s">
        <v>427</v>
      </c>
      <c r="B76" s="194">
        <v>0.85699999999999998</v>
      </c>
      <c r="C76" s="194">
        <v>1</v>
      </c>
      <c r="D76" s="194">
        <v>6</v>
      </c>
      <c r="E76" s="194">
        <v>0.86399999999999999</v>
      </c>
      <c r="F76" s="194">
        <v>0.75</v>
      </c>
      <c r="G76" s="194">
        <v>8</v>
      </c>
      <c r="H76" s="194">
        <v>0.89300000000000002</v>
      </c>
      <c r="I76" s="194">
        <v>0.875</v>
      </c>
      <c r="J76" s="194">
        <v>8</v>
      </c>
      <c r="K76" s="194">
        <v>0.875</v>
      </c>
      <c r="L76" s="194">
        <v>1</v>
      </c>
      <c r="M76" s="194">
        <v>12</v>
      </c>
      <c r="N76" s="194">
        <v>0.90500000000000003</v>
      </c>
      <c r="O76" s="194">
        <v>0.5</v>
      </c>
      <c r="P76" s="194">
        <v>4</v>
      </c>
      <c r="Q76" s="194">
        <v>0.81799999999999995</v>
      </c>
      <c r="R76" s="194">
        <v>1</v>
      </c>
      <c r="S76" s="194">
        <v>5</v>
      </c>
      <c r="T76" s="194">
        <v>1</v>
      </c>
      <c r="U76" s="194">
        <v>1</v>
      </c>
      <c r="V76" s="194">
        <v>2</v>
      </c>
      <c r="W76" s="194">
        <v>0.9</v>
      </c>
      <c r="X76" s="194">
        <v>1</v>
      </c>
      <c r="Y76" s="194">
        <v>4</v>
      </c>
      <c r="Z76" s="194">
        <v>0.875</v>
      </c>
      <c r="AA76" s="194">
        <v>0.75</v>
      </c>
      <c r="AB76" s="194">
        <v>4</v>
      </c>
      <c r="AC76" s="194">
        <v>0.92900000000000005</v>
      </c>
      <c r="AD76" s="194">
        <v>0.875</v>
      </c>
      <c r="AE76" s="194">
        <v>8</v>
      </c>
      <c r="AF76" s="194">
        <v>0.90300000000000002</v>
      </c>
      <c r="AG76" s="194">
        <v>1</v>
      </c>
      <c r="AH76" s="194">
        <v>16</v>
      </c>
      <c r="AI76" s="194">
        <v>0.91300000000000003</v>
      </c>
      <c r="AJ76" s="194">
        <v>0.71399999999999997</v>
      </c>
      <c r="AK76" s="194">
        <v>7</v>
      </c>
      <c r="AL76" s="55"/>
      <c r="AM76" s="55"/>
      <c r="AN76" s="55"/>
      <c r="AO76" s="55"/>
      <c r="AP76" s="55"/>
      <c r="AQ76" s="55"/>
      <c r="AR76" s="55"/>
      <c r="AS76" s="55"/>
      <c r="AT76" s="55"/>
      <c r="AU76" s="55"/>
      <c r="AV76" s="55"/>
      <c r="AW76" s="55"/>
      <c r="AX76" s="55"/>
      <c r="AY76" s="55"/>
      <c r="AZ76" s="55"/>
      <c r="BA76" s="55"/>
      <c r="BB76" s="55"/>
      <c r="BC76" s="55"/>
      <c r="BD76" s="55"/>
      <c r="BE76" s="55"/>
      <c r="BF76" s="55"/>
      <c r="BG76" s="55"/>
      <c r="BH76" s="55"/>
      <c r="BI76" s="55"/>
    </row>
    <row r="77" spans="1:61" x14ac:dyDescent="0.3">
      <c r="A77" s="193" t="s">
        <v>458</v>
      </c>
      <c r="B77" s="194">
        <v>0.75</v>
      </c>
      <c r="C77" s="194">
        <v>1</v>
      </c>
      <c r="D77" s="194">
        <v>2</v>
      </c>
      <c r="E77" s="194">
        <v>0.84599999999999997</v>
      </c>
      <c r="F77" s="194">
        <v>0.66700000000000004</v>
      </c>
      <c r="G77" s="194">
        <v>6</v>
      </c>
      <c r="H77" s="194">
        <v>0.875</v>
      </c>
      <c r="I77" s="194">
        <v>1</v>
      </c>
      <c r="J77" s="194">
        <v>5</v>
      </c>
      <c r="K77" s="194">
        <v>0.88200000000000001</v>
      </c>
      <c r="L77" s="194">
        <v>1</v>
      </c>
      <c r="M77" s="194">
        <v>5</v>
      </c>
      <c r="N77" s="194">
        <v>0.88900000000000001</v>
      </c>
      <c r="O77" s="194">
        <v>0.71399999999999997</v>
      </c>
      <c r="P77" s="194">
        <v>7</v>
      </c>
      <c r="Q77" s="194">
        <v>0.82399999999999995</v>
      </c>
      <c r="R77" s="194">
        <v>1</v>
      </c>
      <c r="S77" s="194">
        <v>6</v>
      </c>
      <c r="T77" s="194">
        <v>0.86699999999999999</v>
      </c>
      <c r="U77" s="194">
        <v>0.75</v>
      </c>
      <c r="V77" s="194">
        <v>4</v>
      </c>
      <c r="W77" s="194">
        <v>0.64300000000000002</v>
      </c>
      <c r="X77" s="194">
        <v>0.8</v>
      </c>
      <c r="Y77" s="194">
        <v>5</v>
      </c>
      <c r="Z77" s="194">
        <v>0.5</v>
      </c>
      <c r="AA77" s="194">
        <v>0.4</v>
      </c>
      <c r="AB77" s="194">
        <v>5</v>
      </c>
      <c r="AC77" s="194">
        <v>0.57099999999999995</v>
      </c>
      <c r="AD77" s="194">
        <v>0.375</v>
      </c>
      <c r="AE77" s="194">
        <v>8</v>
      </c>
      <c r="AF77" s="194">
        <v>0.52200000000000002</v>
      </c>
      <c r="AG77" s="194">
        <v>0.875</v>
      </c>
      <c r="AH77" s="194">
        <v>8</v>
      </c>
      <c r="AI77" s="194">
        <v>0.6</v>
      </c>
      <c r="AJ77" s="194">
        <v>0.28599999999999998</v>
      </c>
      <c r="AK77" s="194">
        <v>7</v>
      </c>
      <c r="AL77" s="55"/>
      <c r="AM77" s="55"/>
      <c r="AN77" s="55"/>
      <c r="AO77" s="55"/>
      <c r="AP77" s="55"/>
      <c r="AQ77" s="55"/>
      <c r="AR77" s="55"/>
      <c r="AS77" s="55"/>
      <c r="AT77" s="55"/>
      <c r="AU77" s="55"/>
      <c r="AV77" s="55"/>
      <c r="AW77" s="55"/>
      <c r="AX77" s="55"/>
      <c r="AY77" s="55"/>
      <c r="AZ77" s="55"/>
      <c r="BA77" s="55"/>
      <c r="BB77" s="55"/>
      <c r="BC77" s="55"/>
      <c r="BD77" s="55"/>
      <c r="BE77" s="55"/>
      <c r="BF77" s="55"/>
      <c r="BG77" s="55"/>
      <c r="BH77" s="55"/>
      <c r="BI77" s="55"/>
    </row>
    <row r="78" spans="1:61" x14ac:dyDescent="0.3">
      <c r="A78" s="193" t="s">
        <v>330</v>
      </c>
      <c r="B78" s="194">
        <v>1</v>
      </c>
      <c r="C78" s="194">
        <v>1</v>
      </c>
      <c r="D78" s="194">
        <v>10</v>
      </c>
      <c r="E78" s="194">
        <v>1</v>
      </c>
      <c r="F78" s="194">
        <v>1</v>
      </c>
      <c r="G78" s="194">
        <v>8</v>
      </c>
      <c r="H78" s="194">
        <v>0.95</v>
      </c>
      <c r="I78" s="194">
        <v>1</v>
      </c>
      <c r="J78" s="194">
        <v>5</v>
      </c>
      <c r="K78" s="194">
        <v>0.875</v>
      </c>
      <c r="L78" s="194">
        <v>0.85699999999999998</v>
      </c>
      <c r="M78" s="194">
        <v>7</v>
      </c>
      <c r="N78" s="194">
        <v>0.73299999999999998</v>
      </c>
      <c r="O78" s="194">
        <v>0.75</v>
      </c>
      <c r="P78" s="194">
        <v>4</v>
      </c>
      <c r="Q78" s="194">
        <v>0.66700000000000004</v>
      </c>
      <c r="R78" s="194">
        <v>0.5</v>
      </c>
      <c r="S78" s="194">
        <v>4</v>
      </c>
      <c r="T78" s="194">
        <v>0.70599999999999996</v>
      </c>
      <c r="U78" s="194">
        <v>0.75</v>
      </c>
      <c r="V78" s="194">
        <v>4</v>
      </c>
      <c r="W78" s="194">
        <v>0.82399999999999995</v>
      </c>
      <c r="X78" s="194">
        <v>0.77800000000000002</v>
      </c>
      <c r="Y78" s="194">
        <v>9</v>
      </c>
      <c r="Z78" s="194">
        <v>0.9</v>
      </c>
      <c r="AA78" s="194">
        <v>1</v>
      </c>
      <c r="AB78" s="194">
        <v>4</v>
      </c>
      <c r="AC78" s="194">
        <v>1</v>
      </c>
      <c r="AD78" s="194">
        <v>1</v>
      </c>
      <c r="AE78" s="194">
        <v>7</v>
      </c>
      <c r="AF78" s="194">
        <v>0.95699999999999996</v>
      </c>
      <c r="AG78" s="194">
        <v>1</v>
      </c>
      <c r="AH78" s="194">
        <v>11</v>
      </c>
      <c r="AI78" s="194">
        <v>0.93799999999999994</v>
      </c>
      <c r="AJ78" s="194">
        <v>0.8</v>
      </c>
      <c r="AK78" s="194">
        <v>5</v>
      </c>
      <c r="AL78" s="55"/>
      <c r="AM78" s="55"/>
      <c r="AN78" s="55"/>
      <c r="AO78" s="55"/>
      <c r="AP78" s="55"/>
      <c r="AQ78" s="55"/>
      <c r="AR78" s="55"/>
      <c r="AS78" s="55"/>
      <c r="AT78" s="55"/>
      <c r="AU78" s="55"/>
      <c r="AV78" s="55"/>
      <c r="AW78" s="55"/>
      <c r="AX78" s="55"/>
      <c r="AY78" s="55"/>
      <c r="AZ78" s="55"/>
      <c r="BA78" s="55"/>
      <c r="BB78" s="55"/>
      <c r="BC78" s="55"/>
      <c r="BD78" s="55"/>
      <c r="BE78" s="55"/>
      <c r="BF78" s="55"/>
      <c r="BG78" s="55"/>
      <c r="BH78" s="55"/>
      <c r="BI78" s="55"/>
    </row>
    <row r="79" spans="1:61" x14ac:dyDescent="0.3">
      <c r="A79" s="193" t="s">
        <v>404</v>
      </c>
      <c r="B79" s="194">
        <v>1</v>
      </c>
      <c r="C79" s="194">
        <v>1</v>
      </c>
      <c r="D79" s="194">
        <v>3</v>
      </c>
      <c r="E79" s="194">
        <v>0.95199999999999996</v>
      </c>
      <c r="F79" s="194">
        <v>1</v>
      </c>
      <c r="G79" s="194">
        <v>7</v>
      </c>
      <c r="H79" s="194">
        <v>0.96699999999999997</v>
      </c>
      <c r="I79" s="194">
        <v>0.90900000000000003</v>
      </c>
      <c r="J79" s="194">
        <v>11</v>
      </c>
      <c r="K79" s="194">
        <v>0.96799999999999997</v>
      </c>
      <c r="L79" s="194">
        <v>1</v>
      </c>
      <c r="M79" s="194">
        <v>12</v>
      </c>
      <c r="N79" s="194">
        <v>1</v>
      </c>
      <c r="O79" s="194">
        <v>1</v>
      </c>
      <c r="P79" s="194">
        <v>8</v>
      </c>
      <c r="Q79" s="194">
        <v>1</v>
      </c>
      <c r="R79" s="194">
        <v>1</v>
      </c>
      <c r="S79" s="194">
        <v>6</v>
      </c>
      <c r="T79" s="194">
        <v>0.95499999999999996</v>
      </c>
      <c r="U79" s="194">
        <v>1</v>
      </c>
      <c r="V79" s="194">
        <v>11</v>
      </c>
      <c r="W79" s="194">
        <v>0.96599999999999997</v>
      </c>
      <c r="X79" s="194">
        <v>0.8</v>
      </c>
      <c r="Y79" s="194">
        <v>5</v>
      </c>
      <c r="Z79" s="194">
        <v>0.93100000000000005</v>
      </c>
      <c r="AA79" s="194">
        <v>1</v>
      </c>
      <c r="AB79" s="194">
        <v>13</v>
      </c>
      <c r="AC79" s="194">
        <v>0.97199999999999998</v>
      </c>
      <c r="AD79" s="194">
        <v>0.90900000000000003</v>
      </c>
      <c r="AE79" s="194">
        <v>11</v>
      </c>
      <c r="AF79" s="194">
        <v>0.96799999999999997</v>
      </c>
      <c r="AG79" s="194">
        <v>1</v>
      </c>
      <c r="AH79" s="194">
        <v>12</v>
      </c>
      <c r="AI79" s="194">
        <v>1</v>
      </c>
      <c r="AJ79" s="194">
        <v>1</v>
      </c>
      <c r="AK79" s="194">
        <v>8</v>
      </c>
      <c r="AL79" s="55"/>
      <c r="AM79" s="55"/>
      <c r="AN79" s="55"/>
      <c r="AO79" s="55"/>
      <c r="AP79" s="55"/>
      <c r="AQ79" s="55"/>
      <c r="AR79" s="55"/>
      <c r="AS79" s="55"/>
      <c r="AT79" s="55"/>
      <c r="AU79" s="55"/>
      <c r="AV79" s="55"/>
      <c r="AW79" s="55"/>
      <c r="AX79" s="55"/>
      <c r="AY79" s="55"/>
      <c r="AZ79" s="55"/>
      <c r="BA79" s="55"/>
      <c r="BB79" s="55"/>
      <c r="BC79" s="55"/>
      <c r="BD79" s="55"/>
      <c r="BE79" s="55"/>
      <c r="BF79" s="55"/>
      <c r="BG79" s="55"/>
      <c r="BH79" s="55"/>
      <c r="BI79" s="55"/>
    </row>
    <row r="80" spans="1:61" x14ac:dyDescent="0.3">
      <c r="A80" s="193" t="s">
        <v>504</v>
      </c>
      <c r="B80" s="194">
        <v>1</v>
      </c>
      <c r="C80" s="194">
        <v>1</v>
      </c>
      <c r="D80" s="194">
        <v>3</v>
      </c>
      <c r="E80" s="194">
        <v>1</v>
      </c>
      <c r="F80" s="194">
        <v>1</v>
      </c>
      <c r="G80" s="194">
        <v>6</v>
      </c>
      <c r="H80" s="194">
        <v>1</v>
      </c>
      <c r="I80" s="194">
        <v>1</v>
      </c>
      <c r="J80" s="194">
        <v>8</v>
      </c>
      <c r="K80" s="194">
        <v>1</v>
      </c>
      <c r="L80" s="194">
        <v>1</v>
      </c>
      <c r="M80" s="194">
        <v>3</v>
      </c>
      <c r="N80" s="194">
        <v>1</v>
      </c>
      <c r="O80" s="194">
        <v>1</v>
      </c>
      <c r="P80" s="194">
        <v>4</v>
      </c>
      <c r="Q80" s="194">
        <v>1</v>
      </c>
      <c r="R80" s="194">
        <v>1</v>
      </c>
      <c r="S80" s="194">
        <v>4</v>
      </c>
      <c r="T80" s="194">
        <v>1</v>
      </c>
      <c r="U80" s="194">
        <v>1</v>
      </c>
      <c r="V80" s="194">
        <v>3</v>
      </c>
      <c r="W80" s="194">
        <v>0.8</v>
      </c>
      <c r="X80" s="194">
        <v>1</v>
      </c>
      <c r="Y80" s="194">
        <v>1</v>
      </c>
      <c r="Z80" s="194">
        <v>0.6</v>
      </c>
      <c r="AA80" s="194">
        <v>0</v>
      </c>
      <c r="AB80" s="194">
        <v>1</v>
      </c>
      <c r="AC80" s="194">
        <v>0.42899999999999999</v>
      </c>
      <c r="AD80" s="194">
        <v>0.66700000000000004</v>
      </c>
      <c r="AE80" s="194">
        <v>3</v>
      </c>
      <c r="AF80" s="194">
        <v>0.308</v>
      </c>
      <c r="AG80" s="194">
        <v>0.33300000000000002</v>
      </c>
      <c r="AH80" s="194">
        <v>3</v>
      </c>
      <c r="AI80" s="194">
        <v>0.2</v>
      </c>
      <c r="AJ80" s="194">
        <v>0.14299999999999999</v>
      </c>
      <c r="AK80" s="194">
        <v>7</v>
      </c>
      <c r="AL80" s="55"/>
      <c r="AM80" s="55"/>
      <c r="AN80" s="55"/>
      <c r="AO80" s="55"/>
      <c r="AP80" s="55"/>
      <c r="AQ80" s="55"/>
      <c r="AR80" s="55"/>
      <c r="AS80" s="55"/>
      <c r="AT80" s="55"/>
      <c r="AU80" s="55"/>
      <c r="AV80" s="55"/>
      <c r="AW80" s="55"/>
      <c r="AX80" s="55"/>
      <c r="AY80" s="55"/>
      <c r="AZ80" s="55"/>
      <c r="BA80" s="55"/>
      <c r="BB80" s="55"/>
      <c r="BC80" s="55"/>
      <c r="BD80" s="55"/>
      <c r="BE80" s="55"/>
      <c r="BF80" s="55"/>
      <c r="BG80" s="55"/>
      <c r="BH80" s="55"/>
      <c r="BI80" s="55"/>
    </row>
    <row r="81" spans="1:61" x14ac:dyDescent="0.3">
      <c r="A81" s="193" t="s">
        <v>310</v>
      </c>
      <c r="B81" s="194">
        <v>0.83299999999999996</v>
      </c>
      <c r="C81" s="194">
        <v>0.77800000000000002</v>
      </c>
      <c r="D81" s="194">
        <v>9</v>
      </c>
      <c r="E81" s="194">
        <v>0.88200000000000001</v>
      </c>
      <c r="F81" s="194">
        <v>1</v>
      </c>
      <c r="G81" s="194">
        <v>3</v>
      </c>
      <c r="H81" s="194">
        <v>1</v>
      </c>
      <c r="I81" s="194">
        <v>1</v>
      </c>
      <c r="J81" s="194">
        <v>5</v>
      </c>
      <c r="K81" s="194">
        <v>1</v>
      </c>
      <c r="L81" s="194">
        <v>1</v>
      </c>
      <c r="M81" s="194">
        <v>2</v>
      </c>
      <c r="N81" s="194">
        <v>1</v>
      </c>
      <c r="O81" s="194">
        <v>1</v>
      </c>
      <c r="P81" s="194">
        <v>5</v>
      </c>
      <c r="Q81" s="194">
        <v>0.88200000000000001</v>
      </c>
      <c r="R81" s="194">
        <v>1</v>
      </c>
      <c r="S81" s="194">
        <v>7</v>
      </c>
      <c r="T81" s="194">
        <v>0.875</v>
      </c>
      <c r="U81" s="194">
        <v>0.6</v>
      </c>
      <c r="V81" s="194">
        <v>5</v>
      </c>
      <c r="W81" s="194">
        <v>0.78600000000000003</v>
      </c>
      <c r="X81" s="194">
        <v>1</v>
      </c>
      <c r="Y81" s="194">
        <v>4</v>
      </c>
      <c r="Z81" s="194">
        <v>0.83299999999999996</v>
      </c>
      <c r="AA81" s="194">
        <v>0.8</v>
      </c>
      <c r="AB81" s="194">
        <v>5</v>
      </c>
      <c r="AC81" s="194">
        <v>0.69199999999999995</v>
      </c>
      <c r="AD81" s="194">
        <v>0.66700000000000004</v>
      </c>
      <c r="AE81" s="194">
        <v>3</v>
      </c>
      <c r="AF81" s="194">
        <v>0.78600000000000003</v>
      </c>
      <c r="AG81" s="194">
        <v>0.6</v>
      </c>
      <c r="AH81" s="194">
        <v>5</v>
      </c>
      <c r="AI81" s="194">
        <v>0.81799999999999995</v>
      </c>
      <c r="AJ81" s="194">
        <v>1</v>
      </c>
      <c r="AK81" s="194">
        <v>6</v>
      </c>
      <c r="AL81" s="55"/>
      <c r="AM81" s="55"/>
      <c r="AN81" s="55"/>
      <c r="AO81" s="55"/>
      <c r="AP81" s="55"/>
      <c r="AQ81" s="55"/>
      <c r="AR81" s="55"/>
      <c r="AS81" s="55"/>
      <c r="AT81" s="55"/>
      <c r="AU81" s="55"/>
      <c r="AV81" s="55"/>
      <c r="AW81" s="55"/>
      <c r="AX81" s="55"/>
      <c r="AY81" s="55"/>
      <c r="AZ81" s="55"/>
      <c r="BA81" s="55"/>
      <c r="BB81" s="55"/>
      <c r="BC81" s="55"/>
      <c r="BD81" s="55"/>
      <c r="BE81" s="55"/>
      <c r="BF81" s="55"/>
      <c r="BG81" s="55"/>
      <c r="BH81" s="55"/>
      <c r="BI81" s="55"/>
    </row>
    <row r="82" spans="1:61" x14ac:dyDescent="0.3">
      <c r="A82" s="193" t="s">
        <v>498</v>
      </c>
      <c r="B82" s="194">
        <v>1</v>
      </c>
      <c r="C82" s="194">
        <v>1</v>
      </c>
      <c r="D82" s="194">
        <v>1</v>
      </c>
      <c r="E82" s="194">
        <v>1</v>
      </c>
      <c r="F82" s="194">
        <v>1</v>
      </c>
      <c r="G82" s="194">
        <v>1</v>
      </c>
      <c r="H82" s="194">
        <v>1</v>
      </c>
      <c r="I82" s="194">
        <v>1</v>
      </c>
      <c r="J82" s="194">
        <v>1</v>
      </c>
      <c r="K82" s="194">
        <v>1</v>
      </c>
      <c r="L82" s="194">
        <v>1</v>
      </c>
      <c r="M82" s="194">
        <v>1</v>
      </c>
      <c r="N82" s="194">
        <v>1</v>
      </c>
      <c r="O82" s="194">
        <v>1</v>
      </c>
      <c r="P82" s="194">
        <v>1</v>
      </c>
      <c r="Q82" s="194">
        <v>1</v>
      </c>
      <c r="R82" s="194"/>
      <c r="S82" s="194"/>
      <c r="T82" s="194">
        <v>1</v>
      </c>
      <c r="U82" s="194"/>
      <c r="V82" s="194"/>
      <c r="W82" s="194">
        <v>1</v>
      </c>
      <c r="X82" s="194">
        <v>1</v>
      </c>
      <c r="Y82" s="194">
        <v>1</v>
      </c>
      <c r="Z82" s="194">
        <v>1</v>
      </c>
      <c r="AA82" s="194"/>
      <c r="AB82" s="194"/>
      <c r="AC82" s="194">
        <v>1</v>
      </c>
      <c r="AD82" s="194"/>
      <c r="AE82" s="194"/>
      <c r="AF82" s="194">
        <v>1</v>
      </c>
      <c r="AG82" s="194">
        <v>1</v>
      </c>
      <c r="AH82" s="194">
        <v>3</v>
      </c>
      <c r="AI82" s="194">
        <v>1</v>
      </c>
      <c r="AJ82" s="194"/>
      <c r="AK82" s="194"/>
      <c r="AL82" s="55"/>
      <c r="AM82" s="55"/>
      <c r="AN82" s="55"/>
      <c r="AO82" s="55"/>
      <c r="AP82" s="55"/>
      <c r="AQ82" s="55"/>
      <c r="AR82" s="55"/>
      <c r="AS82" s="55"/>
      <c r="AT82" s="55"/>
      <c r="AU82" s="55"/>
      <c r="AV82" s="55"/>
      <c r="AW82" s="55"/>
      <c r="AX82" s="55"/>
      <c r="AY82" s="55"/>
      <c r="AZ82" s="55"/>
      <c r="BA82" s="55"/>
      <c r="BB82" s="55"/>
      <c r="BC82" s="55"/>
      <c r="BD82" s="55"/>
      <c r="BE82" s="55"/>
      <c r="BF82" s="55"/>
      <c r="BG82" s="55"/>
      <c r="BH82" s="55"/>
      <c r="BI82" s="55"/>
    </row>
    <row r="83" spans="1:61" x14ac:dyDescent="0.3">
      <c r="A83" s="193" t="s">
        <v>372</v>
      </c>
      <c r="B83" s="194">
        <v>1</v>
      </c>
      <c r="C83" s="194">
        <v>1</v>
      </c>
      <c r="D83" s="194">
        <v>1</v>
      </c>
      <c r="E83" s="194">
        <v>1</v>
      </c>
      <c r="F83" s="194">
        <v>1</v>
      </c>
      <c r="G83" s="194">
        <v>1</v>
      </c>
      <c r="H83" s="194">
        <v>1</v>
      </c>
      <c r="I83" s="194">
        <v>1</v>
      </c>
      <c r="J83" s="194">
        <v>2</v>
      </c>
      <c r="K83" s="194">
        <v>1</v>
      </c>
      <c r="L83" s="194">
        <v>1</v>
      </c>
      <c r="M83" s="194">
        <v>4</v>
      </c>
      <c r="N83" s="194">
        <v>1</v>
      </c>
      <c r="O83" s="194">
        <v>1</v>
      </c>
      <c r="P83" s="194">
        <v>4</v>
      </c>
      <c r="Q83" s="194">
        <v>1</v>
      </c>
      <c r="R83" s="194">
        <v>1</v>
      </c>
      <c r="S83" s="194">
        <v>4</v>
      </c>
      <c r="T83" s="194">
        <v>1</v>
      </c>
      <c r="U83" s="194">
        <v>1</v>
      </c>
      <c r="V83" s="194">
        <v>4</v>
      </c>
      <c r="W83" s="194">
        <v>1</v>
      </c>
      <c r="X83" s="194">
        <v>1</v>
      </c>
      <c r="Y83" s="194">
        <v>4</v>
      </c>
      <c r="Z83" s="194">
        <v>1</v>
      </c>
      <c r="AA83" s="194">
        <v>1</v>
      </c>
      <c r="AB83" s="194">
        <v>6</v>
      </c>
      <c r="AC83" s="194">
        <v>1</v>
      </c>
      <c r="AD83" s="194">
        <v>1</v>
      </c>
      <c r="AE83" s="194">
        <v>6</v>
      </c>
      <c r="AF83" s="194">
        <v>1</v>
      </c>
      <c r="AG83" s="194">
        <v>1</v>
      </c>
      <c r="AH83" s="194">
        <v>6</v>
      </c>
      <c r="AI83" s="194">
        <v>1</v>
      </c>
      <c r="AJ83" s="194">
        <v>1</v>
      </c>
      <c r="AK83" s="194">
        <v>7</v>
      </c>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row>
    <row r="84" spans="1:61" x14ac:dyDescent="0.3">
      <c r="A84" s="193" t="s">
        <v>354</v>
      </c>
      <c r="B84" s="194">
        <v>0.5</v>
      </c>
      <c r="C84" s="194">
        <v>0.5</v>
      </c>
      <c r="D84" s="194">
        <v>2</v>
      </c>
      <c r="E84" s="194">
        <v>0.66700000000000004</v>
      </c>
      <c r="F84" s="194"/>
      <c r="G84" s="194"/>
      <c r="H84" s="194">
        <v>1</v>
      </c>
      <c r="I84" s="194">
        <v>1</v>
      </c>
      <c r="J84" s="194">
        <v>1</v>
      </c>
      <c r="K84" s="194">
        <v>1</v>
      </c>
      <c r="L84" s="194">
        <v>1</v>
      </c>
      <c r="M84" s="194">
        <v>4</v>
      </c>
      <c r="N84" s="194">
        <v>1</v>
      </c>
      <c r="O84" s="194">
        <v>1</v>
      </c>
      <c r="P84" s="194">
        <v>2</v>
      </c>
      <c r="Q84" s="194">
        <v>1</v>
      </c>
      <c r="R84" s="194">
        <v>1</v>
      </c>
      <c r="S84" s="194">
        <v>2</v>
      </c>
      <c r="T84" s="194">
        <v>1</v>
      </c>
      <c r="U84" s="194">
        <v>1</v>
      </c>
      <c r="V84" s="194">
        <v>5</v>
      </c>
      <c r="W84" s="194">
        <v>0.92900000000000005</v>
      </c>
      <c r="X84" s="194">
        <v>1</v>
      </c>
      <c r="Y84" s="194">
        <v>5</v>
      </c>
      <c r="Z84" s="194">
        <v>0.9</v>
      </c>
      <c r="AA84" s="194">
        <v>0.75</v>
      </c>
      <c r="AB84" s="194">
        <v>4</v>
      </c>
      <c r="AC84" s="194">
        <v>0.83299999999999996</v>
      </c>
      <c r="AD84" s="194">
        <v>1</v>
      </c>
      <c r="AE84" s="194">
        <v>1</v>
      </c>
      <c r="AF84" s="194">
        <v>1</v>
      </c>
      <c r="AG84" s="194">
        <v>1</v>
      </c>
      <c r="AH84" s="194">
        <v>1</v>
      </c>
      <c r="AI84" s="194">
        <v>1</v>
      </c>
      <c r="AJ84" s="194"/>
      <c r="AK84" s="194"/>
      <c r="AL84" s="55"/>
      <c r="AM84" s="55"/>
      <c r="AN84" s="55"/>
      <c r="AO84" s="55"/>
      <c r="AP84" s="55"/>
      <c r="AQ84" s="55"/>
      <c r="AR84" s="55"/>
      <c r="AS84" s="55"/>
      <c r="AT84" s="55"/>
      <c r="AU84" s="55"/>
      <c r="AV84" s="55"/>
      <c r="AW84" s="55"/>
      <c r="AX84" s="55"/>
      <c r="AY84" s="55"/>
      <c r="AZ84" s="55"/>
      <c r="BA84" s="55"/>
      <c r="BB84" s="55"/>
      <c r="BC84" s="55"/>
      <c r="BD84" s="55"/>
      <c r="BE84" s="55"/>
      <c r="BF84" s="55"/>
      <c r="BG84" s="55"/>
      <c r="BH84" s="55"/>
      <c r="BI84" s="55"/>
    </row>
    <row r="85" spans="1:61" x14ac:dyDescent="0.3">
      <c r="A85" s="193" t="s">
        <v>390</v>
      </c>
      <c r="B85" s="194">
        <v>1</v>
      </c>
      <c r="C85" s="194">
        <v>1</v>
      </c>
      <c r="D85" s="194">
        <v>21</v>
      </c>
      <c r="E85" s="194">
        <v>1</v>
      </c>
      <c r="F85" s="194">
        <v>1</v>
      </c>
      <c r="G85" s="194">
        <v>13</v>
      </c>
      <c r="H85" s="194">
        <v>1</v>
      </c>
      <c r="I85" s="194">
        <v>1</v>
      </c>
      <c r="J85" s="194">
        <v>16</v>
      </c>
      <c r="K85" s="194">
        <v>1</v>
      </c>
      <c r="L85" s="194">
        <v>1</v>
      </c>
      <c r="M85" s="194">
        <v>12</v>
      </c>
      <c r="N85" s="194">
        <v>1</v>
      </c>
      <c r="O85" s="194">
        <v>1</v>
      </c>
      <c r="P85" s="194">
        <v>25</v>
      </c>
      <c r="Q85" s="194">
        <v>1</v>
      </c>
      <c r="R85" s="194">
        <v>1</v>
      </c>
      <c r="S85" s="194">
        <v>22</v>
      </c>
      <c r="T85" s="194">
        <v>1</v>
      </c>
      <c r="U85" s="194">
        <v>1</v>
      </c>
      <c r="V85" s="194">
        <v>19</v>
      </c>
      <c r="W85" s="194">
        <v>1</v>
      </c>
      <c r="X85" s="194">
        <v>1</v>
      </c>
      <c r="Y85" s="194">
        <v>23</v>
      </c>
      <c r="Z85" s="194">
        <v>1</v>
      </c>
      <c r="AA85" s="194">
        <v>1</v>
      </c>
      <c r="AB85" s="194">
        <v>22</v>
      </c>
      <c r="AC85" s="194">
        <v>1</v>
      </c>
      <c r="AD85" s="194">
        <v>1</v>
      </c>
      <c r="AE85" s="194">
        <v>17</v>
      </c>
      <c r="AF85" s="194">
        <v>1</v>
      </c>
      <c r="AG85" s="194">
        <v>1</v>
      </c>
      <c r="AH85" s="194">
        <v>12</v>
      </c>
      <c r="AI85" s="194">
        <v>1</v>
      </c>
      <c r="AJ85" s="194">
        <v>1</v>
      </c>
      <c r="AK85" s="194">
        <v>18</v>
      </c>
      <c r="AL85" s="55"/>
      <c r="AM85" s="55"/>
      <c r="AN85" s="55"/>
      <c r="AO85" s="55"/>
      <c r="AP85" s="55"/>
      <c r="AQ85" s="55"/>
      <c r="AR85" s="55"/>
      <c r="AS85" s="55"/>
      <c r="AT85" s="55"/>
      <c r="AU85" s="55"/>
      <c r="AV85" s="55"/>
      <c r="AW85" s="55"/>
      <c r="AX85" s="55"/>
      <c r="AY85" s="55"/>
      <c r="AZ85" s="55"/>
      <c r="BA85" s="55"/>
      <c r="BB85" s="55"/>
      <c r="BC85" s="55"/>
      <c r="BD85" s="55"/>
      <c r="BE85" s="55"/>
      <c r="BF85" s="55"/>
      <c r="BG85" s="55"/>
      <c r="BH85" s="55"/>
      <c r="BI85" s="55"/>
    </row>
    <row r="86" spans="1:61" x14ac:dyDescent="0.3">
      <c r="A86" s="193" t="s">
        <v>548</v>
      </c>
      <c r="B86" s="194">
        <v>1</v>
      </c>
      <c r="C86" s="194">
        <v>1</v>
      </c>
      <c r="D86" s="194">
        <v>1</v>
      </c>
      <c r="E86" s="194">
        <v>1</v>
      </c>
      <c r="F86" s="194"/>
      <c r="G86" s="194"/>
      <c r="H86" s="194">
        <v>1</v>
      </c>
      <c r="I86" s="194">
        <v>1</v>
      </c>
      <c r="J86" s="194">
        <v>3</v>
      </c>
      <c r="K86" s="194">
        <v>1</v>
      </c>
      <c r="L86" s="194">
        <v>1</v>
      </c>
      <c r="M86" s="194">
        <v>2</v>
      </c>
      <c r="N86" s="194">
        <v>1</v>
      </c>
      <c r="O86" s="194">
        <v>1</v>
      </c>
      <c r="P86" s="194">
        <v>3</v>
      </c>
      <c r="Q86" s="194">
        <v>1</v>
      </c>
      <c r="R86" s="194">
        <v>1</v>
      </c>
      <c r="S86" s="194">
        <v>2</v>
      </c>
      <c r="T86" s="194">
        <v>0.94399999999999995</v>
      </c>
      <c r="U86" s="194">
        <v>1</v>
      </c>
      <c r="V86" s="194">
        <v>10</v>
      </c>
      <c r="W86" s="194">
        <v>0.9</v>
      </c>
      <c r="X86" s="194">
        <v>0.83299999999999996</v>
      </c>
      <c r="Y86" s="194">
        <v>6</v>
      </c>
      <c r="Z86" s="194">
        <v>0.83299999999999996</v>
      </c>
      <c r="AA86" s="194">
        <v>0.75</v>
      </c>
      <c r="AB86" s="194">
        <v>4</v>
      </c>
      <c r="AC86" s="194">
        <v>0.83299999999999996</v>
      </c>
      <c r="AD86" s="194">
        <v>0.875</v>
      </c>
      <c r="AE86" s="194">
        <v>8</v>
      </c>
      <c r="AF86" s="194">
        <v>0.85699999999999998</v>
      </c>
      <c r="AG86" s="194">
        <v>0.83299999999999996</v>
      </c>
      <c r="AH86" s="194">
        <v>6</v>
      </c>
      <c r="AI86" s="194">
        <v>0.84599999999999997</v>
      </c>
      <c r="AJ86" s="194">
        <v>0.85699999999999998</v>
      </c>
      <c r="AK86" s="194">
        <v>7</v>
      </c>
      <c r="AL86" s="55"/>
      <c r="AM86" s="55"/>
      <c r="AN86" s="55"/>
      <c r="AO86" s="55"/>
      <c r="AP86" s="55"/>
      <c r="AQ86" s="55"/>
      <c r="AR86" s="55"/>
      <c r="AS86" s="55"/>
      <c r="AT86" s="55"/>
      <c r="AU86" s="55"/>
      <c r="AV86" s="55"/>
      <c r="AW86" s="55"/>
      <c r="AX86" s="55"/>
      <c r="AY86" s="55"/>
      <c r="AZ86" s="55"/>
      <c r="BA86" s="55"/>
      <c r="BB86" s="55"/>
      <c r="BC86" s="55"/>
      <c r="BD86" s="55"/>
      <c r="BE86" s="55"/>
      <c r="BF86" s="55"/>
      <c r="BG86" s="55"/>
      <c r="BH86" s="55"/>
      <c r="BI86" s="55"/>
    </row>
    <row r="87" spans="1:61" x14ac:dyDescent="0.3">
      <c r="A87" s="193" t="s">
        <v>518</v>
      </c>
      <c r="B87" s="194">
        <v>0.41699999999999998</v>
      </c>
      <c r="C87" s="194">
        <v>0.75</v>
      </c>
      <c r="D87" s="194">
        <v>4</v>
      </c>
      <c r="E87" s="194">
        <v>0.58799999999999997</v>
      </c>
      <c r="F87" s="194">
        <v>0.25</v>
      </c>
      <c r="G87" s="194">
        <v>8</v>
      </c>
      <c r="H87" s="194">
        <v>0.60899999999999999</v>
      </c>
      <c r="I87" s="194">
        <v>1</v>
      </c>
      <c r="J87" s="194">
        <v>5</v>
      </c>
      <c r="K87" s="194">
        <v>0.81799999999999995</v>
      </c>
      <c r="L87" s="194">
        <v>0.7</v>
      </c>
      <c r="M87" s="194">
        <v>10</v>
      </c>
      <c r="N87" s="194">
        <v>0.80800000000000005</v>
      </c>
      <c r="O87" s="194">
        <v>0.85699999999999998</v>
      </c>
      <c r="P87" s="194">
        <v>7</v>
      </c>
      <c r="Q87" s="194">
        <v>0.83299999999999996</v>
      </c>
      <c r="R87" s="194">
        <v>0.88900000000000001</v>
      </c>
      <c r="S87" s="194">
        <v>9</v>
      </c>
      <c r="T87" s="194">
        <v>0.86399999999999999</v>
      </c>
      <c r="U87" s="194">
        <v>0.75</v>
      </c>
      <c r="V87" s="194">
        <v>8</v>
      </c>
      <c r="W87" s="194">
        <v>0.83899999999999997</v>
      </c>
      <c r="X87" s="194">
        <v>1</v>
      </c>
      <c r="Y87" s="194">
        <v>5</v>
      </c>
      <c r="Z87" s="194">
        <v>0.875</v>
      </c>
      <c r="AA87" s="194">
        <v>0.83299999999999996</v>
      </c>
      <c r="AB87" s="194">
        <v>18</v>
      </c>
      <c r="AC87" s="194">
        <v>0.90200000000000002</v>
      </c>
      <c r="AD87" s="194">
        <v>0.88900000000000001</v>
      </c>
      <c r="AE87" s="194">
        <v>9</v>
      </c>
      <c r="AF87" s="194">
        <v>0.93100000000000005</v>
      </c>
      <c r="AG87" s="194">
        <v>1</v>
      </c>
      <c r="AH87" s="194">
        <v>14</v>
      </c>
      <c r="AI87" s="194">
        <v>0.95</v>
      </c>
      <c r="AJ87" s="194">
        <v>0.83299999999999996</v>
      </c>
      <c r="AK87" s="194">
        <v>6</v>
      </c>
      <c r="AL87" s="55"/>
      <c r="AM87" s="55"/>
      <c r="AN87" s="55"/>
      <c r="AO87" s="55"/>
      <c r="AP87" s="55"/>
      <c r="AQ87" s="55"/>
      <c r="AR87" s="55"/>
      <c r="AS87" s="55"/>
      <c r="AT87" s="55"/>
      <c r="AU87" s="55"/>
      <c r="AV87" s="55"/>
      <c r="AW87" s="55"/>
      <c r="AX87" s="55"/>
      <c r="AY87" s="55"/>
      <c r="AZ87" s="55"/>
      <c r="BA87" s="55"/>
      <c r="BB87" s="55"/>
      <c r="BC87" s="55"/>
      <c r="BD87" s="55"/>
      <c r="BE87" s="55"/>
      <c r="BF87" s="55"/>
      <c r="BG87" s="55"/>
      <c r="BH87" s="55"/>
      <c r="BI87" s="55"/>
    </row>
    <row r="88" spans="1:61" x14ac:dyDescent="0.3">
      <c r="A88" s="193" t="s">
        <v>514</v>
      </c>
      <c r="B88" s="194">
        <v>1</v>
      </c>
      <c r="C88" s="194"/>
      <c r="D88" s="194"/>
      <c r="E88" s="194">
        <v>1</v>
      </c>
      <c r="F88" s="194">
        <v>1</v>
      </c>
      <c r="G88" s="194">
        <v>1</v>
      </c>
      <c r="H88" s="194">
        <v>0.5</v>
      </c>
      <c r="I88" s="194"/>
      <c r="J88" s="194"/>
      <c r="K88" s="194">
        <v>0</v>
      </c>
      <c r="L88" s="194">
        <v>0</v>
      </c>
      <c r="M88" s="194">
        <v>1</v>
      </c>
      <c r="N88" s="194">
        <v>0.5</v>
      </c>
      <c r="O88" s="194"/>
      <c r="P88" s="194"/>
      <c r="Q88" s="194">
        <v>1</v>
      </c>
      <c r="R88" s="194">
        <v>1</v>
      </c>
      <c r="S88" s="194">
        <v>1</v>
      </c>
      <c r="T88" s="194">
        <v>0.5</v>
      </c>
      <c r="U88" s="194"/>
      <c r="V88" s="194"/>
      <c r="W88" s="194">
        <v>0.66700000000000004</v>
      </c>
      <c r="X88" s="194">
        <v>0</v>
      </c>
      <c r="Y88" s="194">
        <v>1</v>
      </c>
      <c r="Z88" s="194">
        <v>0.88900000000000001</v>
      </c>
      <c r="AA88" s="194">
        <v>1</v>
      </c>
      <c r="AB88" s="194">
        <v>2</v>
      </c>
      <c r="AC88" s="194">
        <v>1</v>
      </c>
      <c r="AD88" s="194">
        <v>1</v>
      </c>
      <c r="AE88" s="194">
        <v>6</v>
      </c>
      <c r="AF88" s="194">
        <v>1</v>
      </c>
      <c r="AG88" s="194">
        <v>1</v>
      </c>
      <c r="AH88" s="194">
        <v>5</v>
      </c>
      <c r="AI88" s="194">
        <v>1</v>
      </c>
      <c r="AJ88" s="194">
        <v>1</v>
      </c>
      <c r="AK88" s="194">
        <v>4</v>
      </c>
      <c r="AL88" s="55"/>
      <c r="AM88" s="55"/>
      <c r="AN88" s="55"/>
      <c r="AO88" s="55"/>
      <c r="AP88" s="55"/>
      <c r="AQ88" s="55"/>
      <c r="AR88" s="55"/>
      <c r="AS88" s="55"/>
      <c r="AT88" s="55"/>
      <c r="AU88" s="55"/>
      <c r="AV88" s="55"/>
      <c r="AW88" s="55"/>
      <c r="AX88" s="55"/>
      <c r="AY88" s="55"/>
      <c r="AZ88" s="55"/>
      <c r="BA88" s="55"/>
      <c r="BB88" s="55"/>
      <c r="BC88" s="55"/>
      <c r="BD88" s="55"/>
      <c r="BE88" s="55"/>
      <c r="BF88" s="55"/>
      <c r="BG88" s="55"/>
      <c r="BH88" s="55"/>
      <c r="BI88" s="55"/>
    </row>
    <row r="89" spans="1:61" x14ac:dyDescent="0.3">
      <c r="A89" s="193" t="s">
        <v>496</v>
      </c>
      <c r="B89" s="194">
        <v>0.97099999999999997</v>
      </c>
      <c r="C89" s="194">
        <v>0.96799999999999997</v>
      </c>
      <c r="D89" s="194">
        <v>31</v>
      </c>
      <c r="E89" s="194">
        <v>0.97199999999999998</v>
      </c>
      <c r="F89" s="194">
        <v>0.97399999999999998</v>
      </c>
      <c r="G89" s="194">
        <v>39</v>
      </c>
      <c r="H89" s="194">
        <v>0.98099999999999998</v>
      </c>
      <c r="I89" s="194">
        <v>0.97299999999999998</v>
      </c>
      <c r="J89" s="194">
        <v>37</v>
      </c>
      <c r="K89" s="194">
        <v>0.95499999999999996</v>
      </c>
      <c r="L89" s="194">
        <v>1</v>
      </c>
      <c r="M89" s="194">
        <v>32</v>
      </c>
      <c r="N89" s="194">
        <v>0.96299999999999997</v>
      </c>
      <c r="O89" s="194">
        <v>0.84199999999999997</v>
      </c>
      <c r="P89" s="194">
        <v>19</v>
      </c>
      <c r="Q89" s="194">
        <v>0.96399999999999997</v>
      </c>
      <c r="R89" s="194">
        <v>1</v>
      </c>
      <c r="S89" s="194">
        <v>30</v>
      </c>
      <c r="T89" s="194">
        <v>1</v>
      </c>
      <c r="U89" s="194">
        <v>1</v>
      </c>
      <c r="V89" s="194">
        <v>34</v>
      </c>
      <c r="W89" s="194">
        <v>1</v>
      </c>
      <c r="X89" s="194">
        <v>1</v>
      </c>
      <c r="Y89" s="194">
        <v>22</v>
      </c>
      <c r="Z89" s="194">
        <v>1</v>
      </c>
      <c r="AA89" s="194">
        <v>1</v>
      </c>
      <c r="AB89" s="194">
        <v>9</v>
      </c>
      <c r="AC89" s="194">
        <v>0.97099999999999997</v>
      </c>
      <c r="AD89" s="194">
        <v>1</v>
      </c>
      <c r="AE89" s="194">
        <v>19</v>
      </c>
      <c r="AF89" s="194">
        <v>0.97</v>
      </c>
      <c r="AG89" s="194">
        <v>0.95199999999999996</v>
      </c>
      <c r="AH89" s="194">
        <v>42</v>
      </c>
      <c r="AI89" s="194">
        <v>0.96299999999999997</v>
      </c>
      <c r="AJ89" s="194">
        <v>0.97399999999999998</v>
      </c>
      <c r="AK89" s="194">
        <v>39</v>
      </c>
      <c r="AL89" s="55"/>
      <c r="AM89" s="55"/>
      <c r="AN89" s="55"/>
      <c r="AO89" s="55"/>
      <c r="AP89" s="55"/>
      <c r="AQ89" s="55"/>
      <c r="AR89" s="55"/>
      <c r="AS89" s="55"/>
      <c r="AT89" s="55"/>
      <c r="AU89" s="55"/>
      <c r="AV89" s="55"/>
      <c r="AW89" s="55"/>
      <c r="AX89" s="55"/>
      <c r="AY89" s="55"/>
      <c r="AZ89" s="55"/>
      <c r="BA89" s="55"/>
      <c r="BB89" s="55"/>
      <c r="BC89" s="55"/>
      <c r="BD89" s="55"/>
      <c r="BE89" s="55"/>
      <c r="BF89" s="55"/>
      <c r="BG89" s="55"/>
      <c r="BH89" s="55"/>
      <c r="BI89" s="55"/>
    </row>
    <row r="90" spans="1:61" x14ac:dyDescent="0.3">
      <c r="A90" s="193" t="s">
        <v>359</v>
      </c>
      <c r="B90" s="194">
        <v>0.5</v>
      </c>
      <c r="C90" s="194">
        <v>0.6</v>
      </c>
      <c r="D90" s="194">
        <v>5</v>
      </c>
      <c r="E90" s="194">
        <v>0.5</v>
      </c>
      <c r="F90" s="194">
        <v>0.44400000000000001</v>
      </c>
      <c r="G90" s="194">
        <v>9</v>
      </c>
      <c r="H90" s="194">
        <v>0.37</v>
      </c>
      <c r="I90" s="194">
        <v>0.5</v>
      </c>
      <c r="J90" s="194">
        <v>6</v>
      </c>
      <c r="K90" s="194">
        <v>0.34399999999999997</v>
      </c>
      <c r="L90" s="194">
        <v>0.25</v>
      </c>
      <c r="M90" s="194">
        <v>12</v>
      </c>
      <c r="N90" s="194">
        <v>0.22</v>
      </c>
      <c r="O90" s="194">
        <v>0.35699999999999998</v>
      </c>
      <c r="P90" s="194">
        <v>14</v>
      </c>
      <c r="Q90" s="194">
        <v>0.19</v>
      </c>
      <c r="R90" s="194">
        <v>6.7000000000000004E-2</v>
      </c>
      <c r="S90" s="194">
        <v>15</v>
      </c>
      <c r="T90" s="194">
        <v>8.1000000000000003E-2</v>
      </c>
      <c r="U90" s="194">
        <v>0.154</v>
      </c>
      <c r="V90" s="194">
        <v>13</v>
      </c>
      <c r="W90" s="194">
        <v>7.2999999999999995E-2</v>
      </c>
      <c r="X90" s="194">
        <v>0</v>
      </c>
      <c r="Y90" s="194">
        <v>9</v>
      </c>
      <c r="Z90" s="194">
        <v>5.2999999999999999E-2</v>
      </c>
      <c r="AA90" s="194">
        <v>5.2999999999999999E-2</v>
      </c>
      <c r="AB90" s="194">
        <v>19</v>
      </c>
      <c r="AC90" s="194">
        <v>0.08</v>
      </c>
      <c r="AD90" s="194">
        <v>0.1</v>
      </c>
      <c r="AE90" s="194">
        <v>10</v>
      </c>
      <c r="AF90" s="194">
        <v>6.8000000000000005E-2</v>
      </c>
      <c r="AG90" s="194">
        <v>9.5000000000000001E-2</v>
      </c>
      <c r="AH90" s="194">
        <v>21</v>
      </c>
      <c r="AI90" s="194">
        <v>5.8999999999999997E-2</v>
      </c>
      <c r="AJ90" s="194">
        <v>0</v>
      </c>
      <c r="AK90" s="194">
        <v>13</v>
      </c>
      <c r="AL90" s="55"/>
      <c r="AM90" s="55"/>
      <c r="AN90" s="55"/>
      <c r="AO90" s="55"/>
      <c r="AP90" s="55"/>
      <c r="AQ90" s="55"/>
      <c r="AR90" s="55"/>
      <c r="AS90" s="55"/>
      <c r="AT90" s="55"/>
      <c r="AU90" s="55"/>
      <c r="AV90" s="55"/>
      <c r="AW90" s="55"/>
      <c r="AX90" s="55"/>
      <c r="AY90" s="55"/>
      <c r="AZ90" s="55"/>
      <c r="BA90" s="55"/>
      <c r="BB90" s="55"/>
      <c r="BC90" s="55"/>
      <c r="BD90" s="55"/>
      <c r="BE90" s="55"/>
      <c r="BF90" s="55"/>
      <c r="BG90" s="55"/>
      <c r="BH90" s="55"/>
      <c r="BI90" s="55"/>
    </row>
    <row r="91" spans="1:61" x14ac:dyDescent="0.3">
      <c r="A91" s="193" t="s">
        <v>431</v>
      </c>
      <c r="B91" s="194">
        <v>0.8</v>
      </c>
      <c r="C91" s="194">
        <v>1</v>
      </c>
      <c r="D91" s="194">
        <v>2</v>
      </c>
      <c r="E91" s="194">
        <v>0.93799999999999994</v>
      </c>
      <c r="F91" s="194">
        <v>0.66700000000000004</v>
      </c>
      <c r="G91" s="194">
        <v>3</v>
      </c>
      <c r="H91" s="194">
        <v>0.91300000000000003</v>
      </c>
      <c r="I91" s="194">
        <v>1</v>
      </c>
      <c r="J91" s="194">
        <v>11</v>
      </c>
      <c r="K91" s="194">
        <v>0.93899999999999995</v>
      </c>
      <c r="L91" s="194">
        <v>0.88900000000000001</v>
      </c>
      <c r="M91" s="194">
        <v>9</v>
      </c>
      <c r="N91" s="194">
        <v>0.92100000000000004</v>
      </c>
      <c r="O91" s="194">
        <v>0.92300000000000004</v>
      </c>
      <c r="P91" s="194">
        <v>13</v>
      </c>
      <c r="Q91" s="194">
        <v>0.92300000000000004</v>
      </c>
      <c r="R91" s="194">
        <v>0.93799999999999994</v>
      </c>
      <c r="S91" s="194">
        <v>16</v>
      </c>
      <c r="T91" s="194">
        <v>0.94599999999999995</v>
      </c>
      <c r="U91" s="194">
        <v>0.9</v>
      </c>
      <c r="V91" s="194">
        <v>10</v>
      </c>
      <c r="W91" s="194">
        <v>0.94599999999999995</v>
      </c>
      <c r="X91" s="194">
        <v>1</v>
      </c>
      <c r="Y91" s="194">
        <v>11</v>
      </c>
      <c r="Z91" s="194">
        <v>0.97499999999999998</v>
      </c>
      <c r="AA91" s="194">
        <v>0.93799999999999994</v>
      </c>
      <c r="AB91" s="194">
        <v>16</v>
      </c>
      <c r="AC91" s="194">
        <v>0.94899999999999995</v>
      </c>
      <c r="AD91" s="194">
        <v>1</v>
      </c>
      <c r="AE91" s="194">
        <v>13</v>
      </c>
      <c r="AF91" s="194">
        <v>0.96</v>
      </c>
      <c r="AG91" s="194">
        <v>0.9</v>
      </c>
      <c r="AH91" s="194">
        <v>10</v>
      </c>
      <c r="AI91" s="194">
        <v>0.91700000000000004</v>
      </c>
      <c r="AJ91" s="194">
        <v>1</v>
      </c>
      <c r="AK91" s="194">
        <v>2</v>
      </c>
      <c r="AL91" s="55"/>
      <c r="AM91" s="55"/>
      <c r="AN91" s="55"/>
      <c r="AO91" s="55"/>
      <c r="AP91" s="55"/>
      <c r="AQ91" s="55"/>
      <c r="AR91" s="55"/>
      <c r="AS91" s="55"/>
      <c r="AT91" s="55"/>
      <c r="AU91" s="55"/>
      <c r="AV91" s="55"/>
      <c r="AW91" s="55"/>
      <c r="AX91" s="55"/>
      <c r="AY91" s="55"/>
      <c r="AZ91" s="55"/>
      <c r="BA91" s="55"/>
      <c r="BB91" s="55"/>
      <c r="BC91" s="55"/>
      <c r="BD91" s="55"/>
      <c r="BE91" s="55"/>
      <c r="BF91" s="55"/>
      <c r="BG91" s="55"/>
      <c r="BH91" s="55"/>
      <c r="BI91" s="55"/>
    </row>
    <row r="92" spans="1:61" x14ac:dyDescent="0.3">
      <c r="A92" s="193" t="s">
        <v>526</v>
      </c>
      <c r="B92" s="194">
        <v>0.95</v>
      </c>
      <c r="C92" s="194">
        <v>0.91700000000000004</v>
      </c>
      <c r="D92" s="194">
        <v>12</v>
      </c>
      <c r="E92" s="194">
        <v>0.97299999999999998</v>
      </c>
      <c r="F92" s="194">
        <v>1</v>
      </c>
      <c r="G92" s="194">
        <v>8</v>
      </c>
      <c r="H92" s="194">
        <v>1</v>
      </c>
      <c r="I92" s="194">
        <v>1</v>
      </c>
      <c r="J92" s="194">
        <v>17</v>
      </c>
      <c r="K92" s="194">
        <v>1</v>
      </c>
      <c r="L92" s="194">
        <v>1</v>
      </c>
      <c r="M92" s="194">
        <v>20</v>
      </c>
      <c r="N92" s="194">
        <v>1</v>
      </c>
      <c r="O92" s="194">
        <v>1</v>
      </c>
      <c r="P92" s="194">
        <v>13</v>
      </c>
      <c r="Q92" s="194">
        <v>1</v>
      </c>
      <c r="R92" s="194">
        <v>1</v>
      </c>
      <c r="S92" s="194">
        <v>9</v>
      </c>
      <c r="T92" s="194">
        <v>1</v>
      </c>
      <c r="U92" s="194">
        <v>1</v>
      </c>
      <c r="V92" s="194">
        <v>15</v>
      </c>
      <c r="W92" s="194">
        <v>1</v>
      </c>
      <c r="X92" s="194">
        <v>1</v>
      </c>
      <c r="Y92" s="194">
        <v>11</v>
      </c>
      <c r="Z92" s="194">
        <v>1</v>
      </c>
      <c r="AA92" s="194">
        <v>1</v>
      </c>
      <c r="AB92" s="194">
        <v>16</v>
      </c>
      <c r="AC92" s="194">
        <v>1</v>
      </c>
      <c r="AD92" s="194">
        <v>1</v>
      </c>
      <c r="AE92" s="194">
        <v>9</v>
      </c>
      <c r="AF92" s="194">
        <v>1</v>
      </c>
      <c r="AG92" s="194">
        <v>1</v>
      </c>
      <c r="AH92" s="194">
        <v>11</v>
      </c>
      <c r="AI92" s="194">
        <v>1</v>
      </c>
      <c r="AJ92" s="194">
        <v>1</v>
      </c>
      <c r="AK92" s="194">
        <v>15</v>
      </c>
      <c r="AL92" s="55"/>
      <c r="AM92" s="55"/>
      <c r="AN92" s="55"/>
      <c r="AO92" s="55"/>
      <c r="AP92" s="55"/>
      <c r="AQ92" s="55"/>
      <c r="AR92" s="55"/>
      <c r="AS92" s="55"/>
      <c r="AT92" s="55"/>
      <c r="AU92" s="55"/>
      <c r="AV92" s="55"/>
      <c r="AW92" s="55"/>
      <c r="AX92" s="55"/>
      <c r="AY92" s="55"/>
      <c r="AZ92" s="55"/>
      <c r="BA92" s="55"/>
      <c r="BB92" s="55"/>
      <c r="BC92" s="55"/>
      <c r="BD92" s="55"/>
      <c r="BE92" s="55"/>
      <c r="BF92" s="55"/>
      <c r="BG92" s="55"/>
      <c r="BH92" s="55"/>
      <c r="BI92" s="55"/>
    </row>
    <row r="93" spans="1:61" x14ac:dyDescent="0.3">
      <c r="A93" s="193" t="s">
        <v>435</v>
      </c>
      <c r="B93" s="194">
        <v>0.96299999999999997</v>
      </c>
      <c r="C93" s="194">
        <v>1</v>
      </c>
      <c r="D93" s="194">
        <v>14</v>
      </c>
      <c r="E93" s="194">
        <v>0.95599999999999996</v>
      </c>
      <c r="F93" s="194">
        <v>0.92300000000000004</v>
      </c>
      <c r="G93" s="194">
        <v>13</v>
      </c>
      <c r="H93" s="194">
        <v>0.95599999999999996</v>
      </c>
      <c r="I93" s="194">
        <v>0.94399999999999995</v>
      </c>
      <c r="J93" s="194">
        <v>18</v>
      </c>
      <c r="K93" s="194">
        <v>0.98199999999999998</v>
      </c>
      <c r="L93" s="194">
        <v>1</v>
      </c>
      <c r="M93" s="194">
        <v>14</v>
      </c>
      <c r="N93" s="194">
        <v>1</v>
      </c>
      <c r="O93" s="194">
        <v>1</v>
      </c>
      <c r="P93" s="194">
        <v>24</v>
      </c>
      <c r="Q93" s="194">
        <v>1</v>
      </c>
      <c r="R93" s="194">
        <v>1</v>
      </c>
      <c r="S93" s="194">
        <v>24</v>
      </c>
      <c r="T93" s="194">
        <v>1</v>
      </c>
      <c r="U93" s="194">
        <v>1</v>
      </c>
      <c r="V93" s="194">
        <v>31</v>
      </c>
      <c r="W93" s="194">
        <v>1</v>
      </c>
      <c r="X93" s="194">
        <v>1</v>
      </c>
      <c r="Y93" s="194">
        <v>19</v>
      </c>
      <c r="Z93" s="194">
        <v>0.98499999999999999</v>
      </c>
      <c r="AA93" s="194">
        <v>1</v>
      </c>
      <c r="AB93" s="194">
        <v>23</v>
      </c>
      <c r="AC93" s="194">
        <v>0.98599999999999999</v>
      </c>
      <c r="AD93" s="194">
        <v>0.95699999999999996</v>
      </c>
      <c r="AE93" s="194">
        <v>23</v>
      </c>
      <c r="AF93" s="194">
        <v>0.98599999999999999</v>
      </c>
      <c r="AG93" s="194">
        <v>1</v>
      </c>
      <c r="AH93" s="194">
        <v>24</v>
      </c>
      <c r="AI93" s="194">
        <v>1</v>
      </c>
      <c r="AJ93" s="194">
        <v>1</v>
      </c>
      <c r="AK93" s="194">
        <v>25</v>
      </c>
      <c r="AL93" s="55"/>
      <c r="AM93" s="55"/>
      <c r="AN93" s="55"/>
      <c r="AO93" s="55"/>
      <c r="AP93" s="55"/>
      <c r="AQ93" s="55"/>
      <c r="AR93" s="55"/>
      <c r="AS93" s="55"/>
      <c r="AT93" s="55"/>
      <c r="AU93" s="55"/>
      <c r="AV93" s="55"/>
      <c r="AW93" s="55"/>
      <c r="AX93" s="55"/>
      <c r="AY93" s="55"/>
      <c r="AZ93" s="55"/>
      <c r="BA93" s="55"/>
      <c r="BB93" s="55"/>
      <c r="BC93" s="55"/>
      <c r="BD93" s="55"/>
      <c r="BE93" s="55"/>
      <c r="BF93" s="55"/>
      <c r="BG93" s="55"/>
      <c r="BH93" s="55"/>
      <c r="BI93" s="55"/>
    </row>
    <row r="94" spans="1:61" x14ac:dyDescent="0.3">
      <c r="A94" s="193" t="s">
        <v>267</v>
      </c>
      <c r="B94" s="194">
        <v>1</v>
      </c>
      <c r="C94" s="194">
        <v>1</v>
      </c>
      <c r="D94" s="194">
        <v>4</v>
      </c>
      <c r="E94" s="194">
        <v>1</v>
      </c>
      <c r="F94" s="194">
        <v>1</v>
      </c>
      <c r="G94" s="194">
        <v>3</v>
      </c>
      <c r="H94" s="194">
        <v>1</v>
      </c>
      <c r="I94" s="194">
        <v>1</v>
      </c>
      <c r="J94" s="194">
        <v>2</v>
      </c>
      <c r="K94" s="194">
        <v>0.95</v>
      </c>
      <c r="L94" s="194">
        <v>1</v>
      </c>
      <c r="M94" s="194">
        <v>9</v>
      </c>
      <c r="N94" s="194">
        <v>0.96199999999999997</v>
      </c>
      <c r="O94" s="194">
        <v>0.88900000000000001</v>
      </c>
      <c r="P94" s="194">
        <v>9</v>
      </c>
      <c r="Q94" s="194">
        <v>0.9</v>
      </c>
      <c r="R94" s="194">
        <v>1</v>
      </c>
      <c r="S94" s="194">
        <v>8</v>
      </c>
      <c r="T94" s="194">
        <v>0.94099999999999995</v>
      </c>
      <c r="U94" s="194">
        <v>0.66700000000000004</v>
      </c>
      <c r="V94" s="194">
        <v>3</v>
      </c>
      <c r="W94" s="194">
        <v>0.94099999999999995</v>
      </c>
      <c r="X94" s="194">
        <v>1</v>
      </c>
      <c r="Y94" s="194">
        <v>6</v>
      </c>
      <c r="Z94" s="194">
        <v>1</v>
      </c>
      <c r="AA94" s="194">
        <v>1</v>
      </c>
      <c r="AB94" s="194">
        <v>8</v>
      </c>
      <c r="AC94" s="194">
        <v>1</v>
      </c>
      <c r="AD94" s="194">
        <v>1</v>
      </c>
      <c r="AE94" s="194">
        <v>10</v>
      </c>
      <c r="AF94" s="194">
        <v>0.95199999999999996</v>
      </c>
      <c r="AG94" s="194">
        <v>1</v>
      </c>
      <c r="AH94" s="194">
        <v>7</v>
      </c>
      <c r="AI94" s="194">
        <v>0.90900000000000003</v>
      </c>
      <c r="AJ94" s="194">
        <v>0.75</v>
      </c>
      <c r="AK94" s="194">
        <v>4</v>
      </c>
      <c r="AL94" s="55"/>
      <c r="AM94" s="55"/>
      <c r="AN94" s="55"/>
      <c r="AO94" s="55"/>
      <c r="AP94" s="55"/>
      <c r="AQ94" s="55"/>
      <c r="AR94" s="55"/>
      <c r="AS94" s="55"/>
      <c r="AT94" s="55"/>
      <c r="AU94" s="55"/>
      <c r="AV94" s="55"/>
      <c r="AW94" s="55"/>
      <c r="AX94" s="55"/>
      <c r="AY94" s="55"/>
      <c r="AZ94" s="55"/>
      <c r="BA94" s="55"/>
      <c r="BB94" s="55"/>
      <c r="BC94" s="55"/>
      <c r="BD94" s="55"/>
      <c r="BE94" s="55"/>
      <c r="BF94" s="55"/>
      <c r="BG94" s="55"/>
      <c r="BH94" s="55"/>
      <c r="BI94" s="55"/>
    </row>
    <row r="95" spans="1:61" x14ac:dyDescent="0.3">
      <c r="A95" s="193" t="s">
        <v>484</v>
      </c>
      <c r="B95" s="194">
        <v>0.96</v>
      </c>
      <c r="C95" s="194">
        <v>0.93300000000000005</v>
      </c>
      <c r="D95" s="194">
        <v>15</v>
      </c>
      <c r="E95" s="194">
        <v>0.97299999999999998</v>
      </c>
      <c r="F95" s="194">
        <v>1</v>
      </c>
      <c r="G95" s="194">
        <v>10</v>
      </c>
      <c r="H95" s="194">
        <v>0.93300000000000005</v>
      </c>
      <c r="I95" s="194">
        <v>1</v>
      </c>
      <c r="J95" s="194">
        <v>12</v>
      </c>
      <c r="K95" s="194">
        <v>0.92700000000000005</v>
      </c>
      <c r="L95" s="194">
        <v>0.75</v>
      </c>
      <c r="M95" s="194">
        <v>8</v>
      </c>
      <c r="N95" s="194">
        <v>0.90500000000000003</v>
      </c>
      <c r="O95" s="194">
        <v>0.95199999999999996</v>
      </c>
      <c r="P95" s="194">
        <v>21</v>
      </c>
      <c r="Q95" s="194">
        <v>0.93500000000000005</v>
      </c>
      <c r="R95" s="194">
        <v>0.92300000000000004</v>
      </c>
      <c r="S95" s="194">
        <v>13</v>
      </c>
      <c r="T95" s="194">
        <v>0.93300000000000005</v>
      </c>
      <c r="U95" s="194">
        <v>0.91700000000000004</v>
      </c>
      <c r="V95" s="194">
        <v>12</v>
      </c>
      <c r="W95" s="194">
        <v>0.92600000000000005</v>
      </c>
      <c r="X95" s="194">
        <v>1</v>
      </c>
      <c r="Y95" s="194">
        <v>5</v>
      </c>
      <c r="Z95" s="194">
        <v>0.82099999999999995</v>
      </c>
      <c r="AA95" s="194">
        <v>0.9</v>
      </c>
      <c r="AB95" s="194">
        <v>10</v>
      </c>
      <c r="AC95" s="194">
        <v>0.85</v>
      </c>
      <c r="AD95" s="194">
        <v>0.69199999999999995</v>
      </c>
      <c r="AE95" s="194">
        <v>13</v>
      </c>
      <c r="AF95" s="194">
        <v>0.86699999999999999</v>
      </c>
      <c r="AG95" s="194">
        <v>0.94099999999999995</v>
      </c>
      <c r="AH95" s="194">
        <v>17</v>
      </c>
      <c r="AI95" s="194">
        <v>0.93799999999999994</v>
      </c>
      <c r="AJ95" s="194">
        <v>0.93300000000000005</v>
      </c>
      <c r="AK95" s="194">
        <v>15</v>
      </c>
      <c r="AL95" s="55"/>
      <c r="AM95" s="55"/>
      <c r="AN95" s="55"/>
      <c r="AO95" s="55"/>
      <c r="AP95" s="55"/>
      <c r="AQ95" s="55"/>
      <c r="AR95" s="55"/>
      <c r="AS95" s="55"/>
      <c r="AT95" s="55"/>
      <c r="AU95" s="55"/>
      <c r="AV95" s="55"/>
      <c r="AW95" s="55"/>
      <c r="AX95" s="55"/>
      <c r="AY95" s="55"/>
      <c r="AZ95" s="55"/>
      <c r="BA95" s="55"/>
      <c r="BB95" s="55"/>
      <c r="BC95" s="55"/>
      <c r="BD95" s="55"/>
      <c r="BE95" s="55"/>
      <c r="BF95" s="55"/>
      <c r="BG95" s="55"/>
      <c r="BH95" s="55"/>
      <c r="BI95" s="55"/>
    </row>
    <row r="96" spans="1:61" x14ac:dyDescent="0.3">
      <c r="A96" s="193" t="s">
        <v>470</v>
      </c>
      <c r="B96" s="194">
        <v>1</v>
      </c>
      <c r="C96" s="194">
        <v>1</v>
      </c>
      <c r="D96" s="194">
        <v>3</v>
      </c>
      <c r="E96" s="194">
        <v>1</v>
      </c>
      <c r="F96" s="194">
        <v>1</v>
      </c>
      <c r="G96" s="194">
        <v>12</v>
      </c>
      <c r="H96" s="194">
        <v>1</v>
      </c>
      <c r="I96" s="194">
        <v>1</v>
      </c>
      <c r="J96" s="194">
        <v>4</v>
      </c>
      <c r="K96" s="194">
        <v>1</v>
      </c>
      <c r="L96" s="194">
        <v>1</v>
      </c>
      <c r="M96" s="194">
        <v>8</v>
      </c>
      <c r="N96" s="194">
        <v>1</v>
      </c>
      <c r="O96" s="194">
        <v>1</v>
      </c>
      <c r="P96" s="194">
        <v>4</v>
      </c>
      <c r="Q96" s="194">
        <v>1</v>
      </c>
      <c r="R96" s="194">
        <v>1</v>
      </c>
      <c r="S96" s="194">
        <v>3</v>
      </c>
      <c r="T96" s="194">
        <v>1</v>
      </c>
      <c r="U96" s="194">
        <v>1</v>
      </c>
      <c r="V96" s="194">
        <v>4</v>
      </c>
      <c r="W96" s="194">
        <v>1</v>
      </c>
      <c r="X96" s="194">
        <v>1</v>
      </c>
      <c r="Y96" s="194">
        <v>11</v>
      </c>
      <c r="Z96" s="194">
        <v>1</v>
      </c>
      <c r="AA96" s="194">
        <v>1</v>
      </c>
      <c r="AB96" s="194">
        <v>6</v>
      </c>
      <c r="AC96" s="194">
        <v>1</v>
      </c>
      <c r="AD96" s="194">
        <v>1</v>
      </c>
      <c r="AE96" s="194">
        <v>5</v>
      </c>
      <c r="AF96" s="194">
        <v>1</v>
      </c>
      <c r="AG96" s="194">
        <v>1</v>
      </c>
      <c r="AH96" s="194">
        <v>14</v>
      </c>
      <c r="AI96" s="194">
        <v>1</v>
      </c>
      <c r="AJ96" s="194">
        <v>1</v>
      </c>
      <c r="AK96" s="194">
        <v>12</v>
      </c>
      <c r="AL96" s="55"/>
      <c r="AM96" s="55"/>
      <c r="AN96" s="55"/>
      <c r="AO96" s="55"/>
      <c r="AP96" s="55"/>
      <c r="AQ96" s="55"/>
      <c r="AR96" s="55"/>
      <c r="AS96" s="55"/>
      <c r="AT96" s="55"/>
      <c r="AU96" s="55"/>
      <c r="AV96" s="55"/>
      <c r="AW96" s="55"/>
      <c r="AX96" s="55"/>
      <c r="AY96" s="55"/>
      <c r="AZ96" s="55"/>
      <c r="BA96" s="55"/>
      <c r="BB96" s="55"/>
      <c r="BC96" s="55"/>
      <c r="BD96" s="55"/>
      <c r="BE96" s="55"/>
      <c r="BF96" s="55"/>
      <c r="BG96" s="55"/>
      <c r="BH96" s="55"/>
      <c r="BI96" s="55"/>
    </row>
    <row r="97" spans="1:61" x14ac:dyDescent="0.3">
      <c r="A97" s="193" t="s">
        <v>530</v>
      </c>
      <c r="B97" s="194">
        <v>1</v>
      </c>
      <c r="C97" s="194">
        <v>1</v>
      </c>
      <c r="D97" s="194">
        <v>2</v>
      </c>
      <c r="E97" s="194">
        <v>1</v>
      </c>
      <c r="F97" s="194">
        <v>1</v>
      </c>
      <c r="G97" s="194">
        <v>7</v>
      </c>
      <c r="H97" s="194">
        <v>1</v>
      </c>
      <c r="I97" s="194">
        <v>1</v>
      </c>
      <c r="J97" s="194">
        <v>2</v>
      </c>
      <c r="K97" s="194">
        <v>1</v>
      </c>
      <c r="L97" s="194">
        <v>1</v>
      </c>
      <c r="M97" s="194">
        <v>2</v>
      </c>
      <c r="N97" s="194">
        <v>1</v>
      </c>
      <c r="O97" s="194">
        <v>1</v>
      </c>
      <c r="P97" s="194">
        <v>2</v>
      </c>
      <c r="Q97" s="194">
        <v>1</v>
      </c>
      <c r="R97" s="194">
        <v>1</v>
      </c>
      <c r="S97" s="194">
        <v>2</v>
      </c>
      <c r="T97" s="194">
        <v>1</v>
      </c>
      <c r="U97" s="194">
        <v>1</v>
      </c>
      <c r="V97" s="194">
        <v>1</v>
      </c>
      <c r="W97" s="194">
        <v>1</v>
      </c>
      <c r="X97" s="194">
        <v>1</v>
      </c>
      <c r="Y97" s="194">
        <v>4</v>
      </c>
      <c r="Z97" s="194">
        <v>0.91700000000000004</v>
      </c>
      <c r="AA97" s="194">
        <v>1</v>
      </c>
      <c r="AB97" s="194">
        <v>5</v>
      </c>
      <c r="AC97" s="194">
        <v>0.90900000000000003</v>
      </c>
      <c r="AD97" s="194">
        <v>0.66700000000000004</v>
      </c>
      <c r="AE97" s="194">
        <v>3</v>
      </c>
      <c r="AF97" s="194">
        <v>0.71399999999999997</v>
      </c>
      <c r="AG97" s="194">
        <v>1</v>
      </c>
      <c r="AH97" s="194">
        <v>3</v>
      </c>
      <c r="AI97" s="194">
        <v>0.75</v>
      </c>
      <c r="AJ97" s="194">
        <v>0</v>
      </c>
      <c r="AK97" s="194">
        <v>1</v>
      </c>
      <c r="AL97" s="55"/>
      <c r="AM97" s="55"/>
      <c r="AN97" s="55"/>
      <c r="AO97" s="55"/>
      <c r="AP97" s="55"/>
      <c r="AQ97" s="55"/>
      <c r="AR97" s="55"/>
      <c r="AS97" s="55"/>
      <c r="AT97" s="55"/>
      <c r="AU97" s="55"/>
      <c r="AV97" s="55"/>
      <c r="AW97" s="55"/>
      <c r="AX97" s="55"/>
      <c r="AY97" s="55"/>
      <c r="AZ97" s="55"/>
      <c r="BA97" s="55"/>
      <c r="BB97" s="55"/>
      <c r="BC97" s="55"/>
      <c r="BD97" s="55"/>
      <c r="BE97" s="55"/>
      <c r="BF97" s="55"/>
      <c r="BG97" s="55"/>
      <c r="BH97" s="55"/>
      <c r="BI97" s="55"/>
    </row>
    <row r="98" spans="1:61" x14ac:dyDescent="0.3">
      <c r="A98" s="193" t="s">
        <v>416</v>
      </c>
      <c r="B98" s="194">
        <v>0.75600000000000001</v>
      </c>
      <c r="C98" s="194">
        <v>0.52900000000000003</v>
      </c>
      <c r="D98" s="194">
        <v>17</v>
      </c>
      <c r="E98" s="194">
        <v>0.83599999999999997</v>
      </c>
      <c r="F98" s="194">
        <v>0.89300000000000002</v>
      </c>
      <c r="G98" s="194">
        <v>28</v>
      </c>
      <c r="H98" s="194">
        <v>0.85699999999999998</v>
      </c>
      <c r="I98" s="194">
        <v>0.96399999999999997</v>
      </c>
      <c r="J98" s="194">
        <v>28</v>
      </c>
      <c r="K98" s="194">
        <v>0.84399999999999997</v>
      </c>
      <c r="L98" s="194">
        <v>0.71399999999999997</v>
      </c>
      <c r="M98" s="194">
        <v>28</v>
      </c>
      <c r="N98" s="194">
        <v>0.84</v>
      </c>
      <c r="O98" s="194">
        <v>0.85699999999999998</v>
      </c>
      <c r="P98" s="194">
        <v>21</v>
      </c>
      <c r="Q98" s="194">
        <v>0.91300000000000003</v>
      </c>
      <c r="R98" s="194">
        <v>0.96199999999999997</v>
      </c>
      <c r="S98" s="194">
        <v>26</v>
      </c>
      <c r="T98" s="194">
        <v>0.94099999999999995</v>
      </c>
      <c r="U98" s="194">
        <v>0.90900000000000003</v>
      </c>
      <c r="V98" s="194">
        <v>22</v>
      </c>
      <c r="W98" s="194">
        <v>0.93500000000000005</v>
      </c>
      <c r="X98" s="194">
        <v>0.94599999999999995</v>
      </c>
      <c r="Y98" s="194">
        <v>37</v>
      </c>
      <c r="Z98" s="194">
        <v>0.93300000000000005</v>
      </c>
      <c r="AA98" s="194">
        <v>0.94099999999999995</v>
      </c>
      <c r="AB98" s="194">
        <v>34</v>
      </c>
      <c r="AC98" s="194">
        <v>0.92700000000000005</v>
      </c>
      <c r="AD98" s="194">
        <v>0.91200000000000003</v>
      </c>
      <c r="AE98" s="194">
        <v>34</v>
      </c>
      <c r="AF98" s="194">
        <v>0.91600000000000004</v>
      </c>
      <c r="AG98" s="194">
        <v>0.92900000000000005</v>
      </c>
      <c r="AH98" s="194">
        <v>28</v>
      </c>
      <c r="AI98" s="194">
        <v>0.91800000000000004</v>
      </c>
      <c r="AJ98" s="194">
        <v>0.90500000000000003</v>
      </c>
      <c r="AK98" s="194">
        <v>21</v>
      </c>
      <c r="AL98" s="55"/>
      <c r="AM98" s="55"/>
      <c r="AN98" s="55"/>
      <c r="AO98" s="55"/>
      <c r="AP98" s="55"/>
      <c r="AQ98" s="55"/>
      <c r="AR98" s="55"/>
      <c r="AS98" s="55"/>
      <c r="AT98" s="55"/>
      <c r="AU98" s="55"/>
      <c r="AV98" s="55"/>
      <c r="AW98" s="55"/>
      <c r="AX98" s="55"/>
      <c r="AY98" s="55"/>
      <c r="AZ98" s="55"/>
      <c r="BA98" s="55"/>
      <c r="BB98" s="55"/>
      <c r="BC98" s="55"/>
      <c r="BD98" s="55"/>
      <c r="BE98" s="55"/>
      <c r="BF98" s="55"/>
      <c r="BG98" s="55"/>
      <c r="BH98" s="55"/>
      <c r="BI98" s="55"/>
    </row>
    <row r="99" spans="1:61" x14ac:dyDescent="0.3">
      <c r="A99" s="193" t="s">
        <v>350</v>
      </c>
      <c r="B99" s="194">
        <v>1</v>
      </c>
      <c r="C99" s="194">
        <v>1</v>
      </c>
      <c r="D99" s="194">
        <v>5</v>
      </c>
      <c r="E99" s="194">
        <v>1</v>
      </c>
      <c r="F99" s="194">
        <v>1</v>
      </c>
      <c r="G99" s="194">
        <v>12</v>
      </c>
      <c r="H99" s="194">
        <v>1</v>
      </c>
      <c r="I99" s="194">
        <v>1</v>
      </c>
      <c r="J99" s="194">
        <v>11</v>
      </c>
      <c r="K99" s="194">
        <v>1</v>
      </c>
      <c r="L99" s="194">
        <v>1</v>
      </c>
      <c r="M99" s="194">
        <v>4</v>
      </c>
      <c r="N99" s="194">
        <v>1</v>
      </c>
      <c r="O99" s="194">
        <v>1</v>
      </c>
      <c r="P99" s="194">
        <v>5</v>
      </c>
      <c r="Q99" s="194">
        <v>1</v>
      </c>
      <c r="R99" s="194">
        <v>1</v>
      </c>
      <c r="S99" s="194">
        <v>4</v>
      </c>
      <c r="T99" s="194">
        <v>1</v>
      </c>
      <c r="U99" s="194">
        <v>1</v>
      </c>
      <c r="V99" s="194">
        <v>1</v>
      </c>
      <c r="W99" s="194">
        <v>1</v>
      </c>
      <c r="X99" s="194">
        <v>1</v>
      </c>
      <c r="Y99" s="194">
        <v>7</v>
      </c>
      <c r="Z99" s="194">
        <v>1</v>
      </c>
      <c r="AA99" s="194">
        <v>1</v>
      </c>
      <c r="AB99" s="194">
        <v>7</v>
      </c>
      <c r="AC99" s="194">
        <v>0.96</v>
      </c>
      <c r="AD99" s="194">
        <v>1</v>
      </c>
      <c r="AE99" s="194">
        <v>11</v>
      </c>
      <c r="AF99" s="194">
        <v>0.96199999999999997</v>
      </c>
      <c r="AG99" s="194">
        <v>0.85699999999999998</v>
      </c>
      <c r="AH99" s="194">
        <v>7</v>
      </c>
      <c r="AI99" s="194">
        <v>0.93300000000000005</v>
      </c>
      <c r="AJ99" s="194">
        <v>1</v>
      </c>
      <c r="AK99" s="194">
        <v>8</v>
      </c>
      <c r="AL99" s="55"/>
      <c r="AM99" s="55"/>
      <c r="AN99" s="55"/>
      <c r="AO99" s="55"/>
      <c r="AP99" s="55"/>
      <c r="AQ99" s="55"/>
      <c r="AR99" s="55"/>
      <c r="AS99" s="55"/>
      <c r="AT99" s="55"/>
      <c r="AU99" s="55"/>
      <c r="AV99" s="55"/>
      <c r="AW99" s="55"/>
      <c r="AX99" s="55"/>
      <c r="AY99" s="55"/>
      <c r="AZ99" s="55"/>
      <c r="BA99" s="55"/>
      <c r="BB99" s="55"/>
      <c r="BC99" s="55"/>
      <c r="BD99" s="55"/>
      <c r="BE99" s="55"/>
      <c r="BF99" s="55"/>
      <c r="BG99" s="55"/>
      <c r="BH99" s="55"/>
      <c r="BI99" s="55"/>
    </row>
    <row r="100" spans="1:61" x14ac:dyDescent="0.3">
      <c r="A100" s="193" t="s">
        <v>341</v>
      </c>
      <c r="B100" s="194">
        <v>1</v>
      </c>
      <c r="C100" s="194">
        <v>1</v>
      </c>
      <c r="D100" s="194">
        <v>22</v>
      </c>
      <c r="E100" s="194">
        <v>1</v>
      </c>
      <c r="F100" s="194">
        <v>1</v>
      </c>
      <c r="G100" s="194">
        <v>17</v>
      </c>
      <c r="H100" s="194">
        <v>1</v>
      </c>
      <c r="I100" s="194">
        <v>1</v>
      </c>
      <c r="J100" s="194">
        <v>13</v>
      </c>
      <c r="K100" s="194">
        <v>1</v>
      </c>
      <c r="L100" s="194">
        <v>1</v>
      </c>
      <c r="M100" s="194">
        <v>16</v>
      </c>
      <c r="N100" s="194">
        <v>1</v>
      </c>
      <c r="O100" s="194">
        <v>1</v>
      </c>
      <c r="P100" s="194">
        <v>17</v>
      </c>
      <c r="Q100" s="194">
        <v>1</v>
      </c>
      <c r="R100" s="194">
        <v>1</v>
      </c>
      <c r="S100" s="194">
        <v>16</v>
      </c>
      <c r="T100" s="194">
        <v>0.98099999999999998</v>
      </c>
      <c r="U100" s="194">
        <v>1</v>
      </c>
      <c r="V100" s="194">
        <v>23</v>
      </c>
      <c r="W100" s="194">
        <v>0.98299999999999998</v>
      </c>
      <c r="X100" s="194">
        <v>0.93300000000000005</v>
      </c>
      <c r="Y100" s="194">
        <v>15</v>
      </c>
      <c r="Z100" s="194">
        <v>0.98</v>
      </c>
      <c r="AA100" s="194">
        <v>1</v>
      </c>
      <c r="AB100" s="194">
        <v>21</v>
      </c>
      <c r="AC100" s="194">
        <v>1</v>
      </c>
      <c r="AD100" s="194">
        <v>1</v>
      </c>
      <c r="AE100" s="194">
        <v>14</v>
      </c>
      <c r="AF100" s="194">
        <v>1</v>
      </c>
      <c r="AG100" s="194">
        <v>1</v>
      </c>
      <c r="AH100" s="194">
        <v>19</v>
      </c>
      <c r="AI100" s="194">
        <v>1</v>
      </c>
      <c r="AJ100" s="194">
        <v>1</v>
      </c>
      <c r="AK100" s="194">
        <v>13</v>
      </c>
      <c r="AL100" s="55"/>
      <c r="AM100" s="55"/>
      <c r="AN100" s="55"/>
      <c r="AO100" s="55"/>
      <c r="AP100" s="55"/>
      <c r="AQ100" s="55"/>
      <c r="AR100" s="55"/>
      <c r="AS100" s="55"/>
      <c r="AT100" s="55"/>
      <c r="AU100" s="55"/>
      <c r="AV100" s="55"/>
      <c r="AW100" s="55"/>
      <c r="AX100" s="55"/>
      <c r="AY100" s="55"/>
      <c r="AZ100" s="55"/>
      <c r="BA100" s="55"/>
      <c r="BB100" s="55"/>
      <c r="BC100" s="55"/>
      <c r="BD100" s="55"/>
      <c r="BE100" s="55"/>
      <c r="BF100" s="55"/>
      <c r="BG100" s="55"/>
      <c r="BH100" s="55"/>
      <c r="BI100" s="55"/>
    </row>
    <row r="101" spans="1:61" x14ac:dyDescent="0.3">
      <c r="A101" s="193" t="s">
        <v>423</v>
      </c>
      <c r="B101" s="194">
        <v>1</v>
      </c>
      <c r="C101" s="194">
        <v>1</v>
      </c>
      <c r="D101" s="194">
        <v>6</v>
      </c>
      <c r="E101" s="194">
        <v>0.90900000000000003</v>
      </c>
      <c r="F101" s="194">
        <v>1</v>
      </c>
      <c r="G101" s="194">
        <v>8</v>
      </c>
      <c r="H101" s="194">
        <v>0.91300000000000003</v>
      </c>
      <c r="I101" s="194">
        <v>0.75</v>
      </c>
      <c r="J101" s="194">
        <v>8</v>
      </c>
      <c r="K101" s="194">
        <v>0.87</v>
      </c>
      <c r="L101" s="194">
        <v>1</v>
      </c>
      <c r="M101" s="194">
        <v>7</v>
      </c>
      <c r="N101" s="194">
        <v>0.76200000000000001</v>
      </c>
      <c r="O101" s="194">
        <v>0.875</v>
      </c>
      <c r="P101" s="194">
        <v>8</v>
      </c>
      <c r="Q101" s="194">
        <v>0.76</v>
      </c>
      <c r="R101" s="194">
        <v>0.33300000000000002</v>
      </c>
      <c r="S101" s="194">
        <v>6</v>
      </c>
      <c r="T101" s="194">
        <v>0.72699999999999998</v>
      </c>
      <c r="U101" s="194">
        <v>0.90900000000000003</v>
      </c>
      <c r="V101" s="194">
        <v>11</v>
      </c>
      <c r="W101" s="194">
        <v>0.93100000000000005</v>
      </c>
      <c r="X101" s="194">
        <v>0.8</v>
      </c>
      <c r="Y101" s="194">
        <v>5</v>
      </c>
      <c r="Z101" s="194">
        <v>0.86199999999999999</v>
      </c>
      <c r="AA101" s="194">
        <v>1</v>
      </c>
      <c r="AB101" s="194">
        <v>13</v>
      </c>
      <c r="AC101" s="194">
        <v>0.89700000000000002</v>
      </c>
      <c r="AD101" s="194">
        <v>0.72699999999999998</v>
      </c>
      <c r="AE101" s="194">
        <v>11</v>
      </c>
      <c r="AF101" s="194">
        <v>0.86499999999999999</v>
      </c>
      <c r="AG101" s="194">
        <v>0.93300000000000005</v>
      </c>
      <c r="AH101" s="194">
        <v>15</v>
      </c>
      <c r="AI101" s="194">
        <v>0.92300000000000004</v>
      </c>
      <c r="AJ101" s="194">
        <v>0.90900000000000003</v>
      </c>
      <c r="AK101" s="194">
        <v>11</v>
      </c>
      <c r="AL101" s="55"/>
      <c r="AM101" s="55"/>
      <c r="AN101" s="55"/>
      <c r="AO101" s="55"/>
      <c r="AP101" s="55"/>
      <c r="AQ101" s="55"/>
      <c r="AR101" s="55"/>
      <c r="AS101" s="55"/>
      <c r="AT101" s="55"/>
      <c r="AU101" s="55"/>
      <c r="AV101" s="55"/>
      <c r="AW101" s="55"/>
      <c r="AX101" s="55"/>
      <c r="AY101" s="55"/>
      <c r="AZ101" s="55"/>
      <c r="BA101" s="55"/>
      <c r="BB101" s="55"/>
      <c r="BC101" s="55"/>
      <c r="BD101" s="55"/>
      <c r="BE101" s="55"/>
      <c r="BF101" s="55"/>
      <c r="BG101" s="55"/>
      <c r="BH101" s="55"/>
      <c r="BI101" s="55"/>
    </row>
    <row r="102" spans="1:61" x14ac:dyDescent="0.3">
      <c r="A102" s="193" t="s">
        <v>374</v>
      </c>
      <c r="B102" s="194">
        <v>0.72399999999999998</v>
      </c>
      <c r="C102" s="194">
        <v>0.76500000000000001</v>
      </c>
      <c r="D102" s="194">
        <v>17</v>
      </c>
      <c r="E102" s="194">
        <v>0.74399999999999999</v>
      </c>
      <c r="F102" s="194">
        <v>0.66700000000000004</v>
      </c>
      <c r="G102" s="194">
        <v>12</v>
      </c>
      <c r="H102" s="194">
        <v>0.77800000000000002</v>
      </c>
      <c r="I102" s="194">
        <v>0.78600000000000003</v>
      </c>
      <c r="J102" s="194">
        <v>14</v>
      </c>
      <c r="K102" s="194">
        <v>0.84399999999999997</v>
      </c>
      <c r="L102" s="194">
        <v>0.84199999999999997</v>
      </c>
      <c r="M102" s="194">
        <v>19</v>
      </c>
      <c r="N102" s="194">
        <v>0.86299999999999999</v>
      </c>
      <c r="O102" s="194">
        <v>0.91700000000000004</v>
      </c>
      <c r="P102" s="194">
        <v>12</v>
      </c>
      <c r="Q102" s="194">
        <v>0.87</v>
      </c>
      <c r="R102" s="194">
        <v>0.85</v>
      </c>
      <c r="S102" s="194">
        <v>20</v>
      </c>
      <c r="T102" s="194">
        <v>0.86399999999999999</v>
      </c>
      <c r="U102" s="194">
        <v>0.86399999999999999</v>
      </c>
      <c r="V102" s="194">
        <v>22</v>
      </c>
      <c r="W102" s="194">
        <v>0.88900000000000001</v>
      </c>
      <c r="X102" s="194">
        <v>0.88200000000000001</v>
      </c>
      <c r="Y102" s="194">
        <v>17</v>
      </c>
      <c r="Z102" s="194">
        <v>0.88900000000000001</v>
      </c>
      <c r="AA102" s="194">
        <v>0.93300000000000005</v>
      </c>
      <c r="AB102" s="194">
        <v>15</v>
      </c>
      <c r="AC102" s="194">
        <v>0.89500000000000002</v>
      </c>
      <c r="AD102" s="194">
        <v>0.84599999999999997</v>
      </c>
      <c r="AE102" s="194">
        <v>13</v>
      </c>
      <c r="AF102" s="194">
        <v>0.89600000000000002</v>
      </c>
      <c r="AG102" s="194">
        <v>0.89700000000000002</v>
      </c>
      <c r="AH102" s="194">
        <v>29</v>
      </c>
      <c r="AI102" s="194">
        <v>0.90600000000000003</v>
      </c>
      <c r="AJ102" s="194">
        <v>0.91400000000000003</v>
      </c>
      <c r="AK102" s="194">
        <v>35</v>
      </c>
      <c r="AL102" s="55"/>
      <c r="AM102" s="55"/>
      <c r="AN102" s="55"/>
      <c r="AO102" s="55"/>
      <c r="AP102" s="55"/>
      <c r="AQ102" s="55"/>
      <c r="AR102" s="55"/>
      <c r="AS102" s="55"/>
      <c r="AT102" s="55"/>
      <c r="AU102" s="55"/>
      <c r="AV102" s="55"/>
      <c r="AW102" s="55"/>
      <c r="AX102" s="55"/>
      <c r="AY102" s="55"/>
      <c r="AZ102" s="55"/>
      <c r="BA102" s="55"/>
      <c r="BB102" s="55"/>
      <c r="BC102" s="55"/>
      <c r="BD102" s="55"/>
      <c r="BE102" s="55"/>
      <c r="BF102" s="55"/>
      <c r="BG102" s="55"/>
      <c r="BH102" s="55"/>
      <c r="BI102" s="55"/>
    </row>
    <row r="103" spans="1:61" x14ac:dyDescent="0.3">
      <c r="A103" s="193" t="s">
        <v>512</v>
      </c>
      <c r="B103" s="194">
        <v>0.89500000000000002</v>
      </c>
      <c r="C103" s="194">
        <v>0.90900000000000003</v>
      </c>
      <c r="D103" s="194">
        <v>11</v>
      </c>
      <c r="E103" s="194">
        <v>0.92300000000000004</v>
      </c>
      <c r="F103" s="194">
        <v>0.875</v>
      </c>
      <c r="G103" s="194">
        <v>8</v>
      </c>
      <c r="H103" s="194">
        <v>0.94399999999999995</v>
      </c>
      <c r="I103" s="194">
        <v>1</v>
      </c>
      <c r="J103" s="194">
        <v>7</v>
      </c>
      <c r="K103" s="194">
        <v>0.95099999999999996</v>
      </c>
      <c r="L103" s="194">
        <v>0.95199999999999996</v>
      </c>
      <c r="M103" s="194">
        <v>21</v>
      </c>
      <c r="N103" s="194">
        <v>0.96399999999999997</v>
      </c>
      <c r="O103" s="194">
        <v>0.92300000000000004</v>
      </c>
      <c r="P103" s="194">
        <v>13</v>
      </c>
      <c r="Q103" s="194">
        <v>0.97799999999999998</v>
      </c>
      <c r="R103" s="194">
        <v>1</v>
      </c>
      <c r="S103" s="194">
        <v>21</v>
      </c>
      <c r="T103" s="194">
        <v>0.97699999999999998</v>
      </c>
      <c r="U103" s="194">
        <v>1</v>
      </c>
      <c r="V103" s="194">
        <v>11</v>
      </c>
      <c r="W103" s="194">
        <v>0.94299999999999995</v>
      </c>
      <c r="X103" s="194">
        <v>0.91700000000000004</v>
      </c>
      <c r="Y103" s="194">
        <v>12</v>
      </c>
      <c r="Z103" s="194">
        <v>0.94899999999999995</v>
      </c>
      <c r="AA103" s="194">
        <v>0.91700000000000004</v>
      </c>
      <c r="AB103" s="194">
        <v>12</v>
      </c>
      <c r="AC103" s="194">
        <v>0.96799999999999997</v>
      </c>
      <c r="AD103" s="194">
        <v>1</v>
      </c>
      <c r="AE103" s="194">
        <v>15</v>
      </c>
      <c r="AF103" s="194">
        <v>1</v>
      </c>
      <c r="AG103" s="194">
        <v>1</v>
      </c>
      <c r="AH103" s="194">
        <v>4</v>
      </c>
      <c r="AI103" s="194">
        <v>1</v>
      </c>
      <c r="AJ103" s="194">
        <v>1</v>
      </c>
      <c r="AK103" s="194">
        <v>6</v>
      </c>
      <c r="AL103" s="55"/>
      <c r="AM103" s="55"/>
      <c r="AN103" s="55"/>
      <c r="AO103" s="55"/>
      <c r="AP103" s="55"/>
      <c r="AQ103" s="55"/>
      <c r="AR103" s="55"/>
      <c r="AS103" s="55"/>
      <c r="AT103" s="55"/>
      <c r="AU103" s="55"/>
      <c r="AV103" s="55"/>
      <c r="AW103" s="55"/>
      <c r="AX103" s="55"/>
      <c r="AY103" s="55"/>
      <c r="AZ103" s="55"/>
      <c r="BA103" s="55"/>
      <c r="BB103" s="55"/>
      <c r="BC103" s="55"/>
      <c r="BD103" s="55"/>
      <c r="BE103" s="55"/>
      <c r="BF103" s="55"/>
      <c r="BG103" s="55"/>
      <c r="BH103" s="55"/>
      <c r="BI103" s="55"/>
    </row>
    <row r="104" spans="1:61" x14ac:dyDescent="0.3">
      <c r="A104" s="193" t="s">
        <v>528</v>
      </c>
      <c r="B104" s="194">
        <v>0.86499999999999999</v>
      </c>
      <c r="C104" s="194">
        <v>0.88</v>
      </c>
      <c r="D104" s="194">
        <v>25</v>
      </c>
      <c r="E104" s="194">
        <v>0.90400000000000003</v>
      </c>
      <c r="F104" s="194">
        <v>0.83299999999999996</v>
      </c>
      <c r="G104" s="194">
        <v>12</v>
      </c>
      <c r="H104" s="194">
        <v>0.94899999999999995</v>
      </c>
      <c r="I104" s="194">
        <v>1</v>
      </c>
      <c r="J104" s="194">
        <v>15</v>
      </c>
      <c r="K104" s="194">
        <v>1</v>
      </c>
      <c r="L104" s="194">
        <v>1</v>
      </c>
      <c r="M104" s="194">
        <v>12</v>
      </c>
      <c r="N104" s="194">
        <v>0.97899999999999998</v>
      </c>
      <c r="O104" s="194">
        <v>1</v>
      </c>
      <c r="P104" s="194">
        <v>15</v>
      </c>
      <c r="Q104" s="194">
        <v>0.98099999999999998</v>
      </c>
      <c r="R104" s="194">
        <v>0.95</v>
      </c>
      <c r="S104" s="194">
        <v>20</v>
      </c>
      <c r="T104" s="194">
        <v>0.98</v>
      </c>
      <c r="U104" s="194">
        <v>1</v>
      </c>
      <c r="V104" s="194">
        <v>18</v>
      </c>
      <c r="W104" s="194">
        <v>1</v>
      </c>
      <c r="X104" s="194">
        <v>1</v>
      </c>
      <c r="Y104" s="194">
        <v>12</v>
      </c>
      <c r="Z104" s="194">
        <v>1</v>
      </c>
      <c r="AA104" s="194">
        <v>1</v>
      </c>
      <c r="AB104" s="194">
        <v>22</v>
      </c>
      <c r="AC104" s="194">
        <v>1</v>
      </c>
      <c r="AD104" s="194">
        <v>1</v>
      </c>
      <c r="AE104" s="194">
        <v>25</v>
      </c>
      <c r="AF104" s="194">
        <v>0.97799999999999998</v>
      </c>
      <c r="AG104" s="194">
        <v>1</v>
      </c>
      <c r="AH104" s="194">
        <v>30</v>
      </c>
      <c r="AI104" s="194">
        <v>0.97</v>
      </c>
      <c r="AJ104" s="194">
        <v>0.94399999999999995</v>
      </c>
      <c r="AK104" s="194">
        <v>36</v>
      </c>
      <c r="AL104" s="55"/>
      <c r="AM104" s="55"/>
      <c r="AN104" s="55"/>
      <c r="AO104" s="55"/>
      <c r="AP104" s="55"/>
      <c r="AQ104" s="55"/>
      <c r="AR104" s="55"/>
      <c r="AS104" s="55"/>
      <c r="AT104" s="55"/>
      <c r="AU104" s="55"/>
      <c r="AV104" s="55"/>
      <c r="AW104" s="55"/>
      <c r="AX104" s="55"/>
      <c r="AY104" s="55"/>
      <c r="AZ104" s="55"/>
      <c r="BA104" s="55"/>
      <c r="BB104" s="55"/>
      <c r="BC104" s="55"/>
      <c r="BD104" s="55"/>
      <c r="BE104" s="55"/>
      <c r="BF104" s="55"/>
      <c r="BG104" s="55"/>
      <c r="BH104" s="55"/>
      <c r="BI104" s="55"/>
    </row>
    <row r="105" spans="1:61" x14ac:dyDescent="0.3">
      <c r="A105" s="193" t="s">
        <v>400</v>
      </c>
      <c r="B105" s="194">
        <v>1</v>
      </c>
      <c r="C105" s="194">
        <v>1</v>
      </c>
      <c r="D105" s="194">
        <v>11</v>
      </c>
      <c r="E105" s="194">
        <v>1</v>
      </c>
      <c r="F105" s="194">
        <v>1</v>
      </c>
      <c r="G105" s="194">
        <v>7</v>
      </c>
      <c r="H105" s="194">
        <v>1</v>
      </c>
      <c r="I105" s="194">
        <v>1</v>
      </c>
      <c r="J105" s="194">
        <v>8</v>
      </c>
      <c r="K105" s="194">
        <v>0.95199999999999996</v>
      </c>
      <c r="L105" s="194">
        <v>1</v>
      </c>
      <c r="M105" s="194">
        <v>4</v>
      </c>
      <c r="N105" s="194">
        <v>0.95199999999999996</v>
      </c>
      <c r="O105" s="194">
        <v>0.88900000000000001</v>
      </c>
      <c r="P105" s="194">
        <v>9</v>
      </c>
      <c r="Q105" s="194">
        <v>0.95199999999999996</v>
      </c>
      <c r="R105" s="194">
        <v>1</v>
      </c>
      <c r="S105" s="194">
        <v>8</v>
      </c>
      <c r="T105" s="194">
        <v>0.95699999999999996</v>
      </c>
      <c r="U105" s="194">
        <v>1</v>
      </c>
      <c r="V105" s="194">
        <v>4</v>
      </c>
      <c r="W105" s="194">
        <v>0.96199999999999997</v>
      </c>
      <c r="X105" s="194">
        <v>0.90900000000000003</v>
      </c>
      <c r="Y105" s="194">
        <v>11</v>
      </c>
      <c r="Z105" s="194">
        <v>0.97299999999999998</v>
      </c>
      <c r="AA105" s="194">
        <v>1</v>
      </c>
      <c r="AB105" s="194">
        <v>11</v>
      </c>
      <c r="AC105" s="194">
        <v>1</v>
      </c>
      <c r="AD105" s="194">
        <v>1</v>
      </c>
      <c r="AE105" s="194">
        <v>15</v>
      </c>
      <c r="AF105" s="194">
        <v>1</v>
      </c>
      <c r="AG105" s="194">
        <v>1</v>
      </c>
      <c r="AH105" s="194">
        <v>9</v>
      </c>
      <c r="AI105" s="194">
        <v>1</v>
      </c>
      <c r="AJ105" s="194">
        <v>1</v>
      </c>
      <c r="AK105" s="194">
        <v>8</v>
      </c>
      <c r="AL105" s="55"/>
      <c r="AM105" s="55"/>
      <c r="AN105" s="55"/>
      <c r="AO105" s="55"/>
      <c r="AP105" s="55"/>
      <c r="AQ105" s="55"/>
      <c r="AR105" s="55"/>
      <c r="AS105" s="55"/>
      <c r="AT105" s="55"/>
      <c r="AU105" s="55"/>
      <c r="AV105" s="55"/>
      <c r="AW105" s="55"/>
      <c r="AX105" s="55"/>
      <c r="AY105" s="55"/>
      <c r="AZ105" s="55"/>
      <c r="BA105" s="55"/>
      <c r="BB105" s="55"/>
      <c r="BC105" s="55"/>
      <c r="BD105" s="55"/>
      <c r="BE105" s="55"/>
      <c r="BF105" s="55"/>
      <c r="BG105" s="55"/>
      <c r="BH105" s="55"/>
      <c r="BI105" s="55"/>
    </row>
    <row r="106" spans="1:61" x14ac:dyDescent="0.3">
      <c r="A106" s="193" t="s">
        <v>540</v>
      </c>
      <c r="B106" s="194">
        <v>1</v>
      </c>
      <c r="C106" s="194">
        <v>1</v>
      </c>
      <c r="D106" s="194">
        <v>14</v>
      </c>
      <c r="E106" s="194">
        <v>1</v>
      </c>
      <c r="F106" s="194">
        <v>1</v>
      </c>
      <c r="G106" s="194">
        <v>13</v>
      </c>
      <c r="H106" s="194">
        <v>0.93799999999999994</v>
      </c>
      <c r="I106" s="194">
        <v>1</v>
      </c>
      <c r="J106" s="194">
        <v>9</v>
      </c>
      <c r="K106" s="194">
        <v>0.92</v>
      </c>
      <c r="L106" s="194">
        <v>0.8</v>
      </c>
      <c r="M106" s="194">
        <v>10</v>
      </c>
      <c r="N106" s="194">
        <v>0.91700000000000004</v>
      </c>
      <c r="O106" s="194">
        <v>1</v>
      </c>
      <c r="P106" s="194">
        <v>6</v>
      </c>
      <c r="Q106" s="194">
        <v>1</v>
      </c>
      <c r="R106" s="194">
        <v>1</v>
      </c>
      <c r="S106" s="194">
        <v>8</v>
      </c>
      <c r="T106" s="194">
        <v>1</v>
      </c>
      <c r="U106" s="194">
        <v>1</v>
      </c>
      <c r="V106" s="194">
        <v>5</v>
      </c>
      <c r="W106" s="194">
        <v>1</v>
      </c>
      <c r="X106" s="194">
        <v>1</v>
      </c>
      <c r="Y106" s="194">
        <v>9</v>
      </c>
      <c r="Z106" s="194">
        <v>1</v>
      </c>
      <c r="AA106" s="194">
        <v>1</v>
      </c>
      <c r="AB106" s="194">
        <v>10</v>
      </c>
      <c r="AC106" s="194">
        <v>1</v>
      </c>
      <c r="AD106" s="194">
        <v>1</v>
      </c>
      <c r="AE106" s="194">
        <v>11</v>
      </c>
      <c r="AF106" s="194">
        <v>1</v>
      </c>
      <c r="AG106" s="194">
        <v>1</v>
      </c>
      <c r="AH106" s="194">
        <v>9</v>
      </c>
      <c r="AI106" s="194">
        <v>1</v>
      </c>
      <c r="AJ106" s="194">
        <v>1</v>
      </c>
      <c r="AK106" s="194">
        <v>12</v>
      </c>
      <c r="AL106" s="55"/>
      <c r="AM106" s="55"/>
      <c r="AN106" s="55"/>
      <c r="AO106" s="55"/>
      <c r="AP106" s="55"/>
      <c r="AQ106" s="55"/>
      <c r="AR106" s="55"/>
      <c r="AS106" s="55"/>
      <c r="AT106" s="55"/>
      <c r="AU106" s="55"/>
      <c r="AV106" s="55"/>
      <c r="AW106" s="55"/>
      <c r="AX106" s="55"/>
      <c r="AY106" s="55"/>
      <c r="AZ106" s="55"/>
      <c r="BA106" s="55"/>
      <c r="BB106" s="55"/>
      <c r="BC106" s="55"/>
      <c r="BD106" s="55"/>
      <c r="BE106" s="55"/>
      <c r="BF106" s="55"/>
      <c r="BG106" s="55"/>
      <c r="BH106" s="55"/>
      <c r="BI106" s="55"/>
    </row>
    <row r="107" spans="1:61" x14ac:dyDescent="0.3">
      <c r="A107" s="193" t="s">
        <v>337</v>
      </c>
      <c r="B107" s="194">
        <v>1</v>
      </c>
      <c r="C107" s="194">
        <v>1</v>
      </c>
      <c r="D107" s="194">
        <v>7</v>
      </c>
      <c r="E107" s="194">
        <v>0.95499999999999996</v>
      </c>
      <c r="F107" s="194">
        <v>1</v>
      </c>
      <c r="G107" s="194">
        <v>9</v>
      </c>
      <c r="H107" s="194">
        <v>0.94399999999999995</v>
      </c>
      <c r="I107" s="194">
        <v>0.83299999999999996</v>
      </c>
      <c r="J107" s="194">
        <v>6</v>
      </c>
      <c r="K107" s="194">
        <v>0.93799999999999994</v>
      </c>
      <c r="L107" s="194">
        <v>1</v>
      </c>
      <c r="M107" s="194">
        <v>3</v>
      </c>
      <c r="N107" s="194">
        <v>0.95499999999999996</v>
      </c>
      <c r="O107" s="194">
        <v>1</v>
      </c>
      <c r="P107" s="194">
        <v>7</v>
      </c>
      <c r="Q107" s="194">
        <v>0.97</v>
      </c>
      <c r="R107" s="194">
        <v>0.91700000000000004</v>
      </c>
      <c r="S107" s="194">
        <v>12</v>
      </c>
      <c r="T107" s="194">
        <v>0.94899999999999995</v>
      </c>
      <c r="U107" s="194">
        <v>1</v>
      </c>
      <c r="V107" s="194">
        <v>14</v>
      </c>
      <c r="W107" s="194">
        <v>0.97599999999999998</v>
      </c>
      <c r="X107" s="194">
        <v>0.92300000000000004</v>
      </c>
      <c r="Y107" s="194">
        <v>13</v>
      </c>
      <c r="Z107" s="194">
        <v>0.97499999999999998</v>
      </c>
      <c r="AA107" s="194">
        <v>1</v>
      </c>
      <c r="AB107" s="194">
        <v>14</v>
      </c>
      <c r="AC107" s="194">
        <v>1</v>
      </c>
      <c r="AD107" s="194">
        <v>1</v>
      </c>
      <c r="AE107" s="194">
        <v>13</v>
      </c>
      <c r="AF107" s="194">
        <v>0.96299999999999997</v>
      </c>
      <c r="AG107" s="194">
        <v>1</v>
      </c>
      <c r="AH107" s="194">
        <v>23</v>
      </c>
      <c r="AI107" s="194">
        <v>0.95099999999999996</v>
      </c>
      <c r="AJ107" s="194">
        <v>0.88900000000000001</v>
      </c>
      <c r="AK107" s="194">
        <v>18</v>
      </c>
      <c r="AL107" s="55"/>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row>
    <row r="108" spans="1:61" x14ac:dyDescent="0.3">
      <c r="A108" s="193" t="s">
        <v>482</v>
      </c>
      <c r="B108" s="194">
        <v>0.622</v>
      </c>
      <c r="C108" s="194">
        <v>0.71399999999999997</v>
      </c>
      <c r="D108" s="194">
        <v>21</v>
      </c>
      <c r="E108" s="194">
        <v>0.49199999999999999</v>
      </c>
      <c r="F108" s="194">
        <v>0.5</v>
      </c>
      <c r="G108" s="194">
        <v>16</v>
      </c>
      <c r="H108" s="194">
        <v>0.28000000000000003</v>
      </c>
      <c r="I108" s="194">
        <v>0.27300000000000002</v>
      </c>
      <c r="J108" s="194">
        <v>22</v>
      </c>
      <c r="K108" s="194">
        <v>0.192</v>
      </c>
      <c r="L108" s="194">
        <v>0</v>
      </c>
      <c r="M108" s="194">
        <v>12</v>
      </c>
      <c r="N108" s="194">
        <v>0.21299999999999999</v>
      </c>
      <c r="O108" s="194">
        <v>0.222</v>
      </c>
      <c r="P108" s="194">
        <v>18</v>
      </c>
      <c r="Q108" s="194">
        <v>0.33900000000000002</v>
      </c>
      <c r="R108" s="194">
        <v>0.35299999999999998</v>
      </c>
      <c r="S108" s="194">
        <v>17</v>
      </c>
      <c r="T108" s="194">
        <v>0.55200000000000005</v>
      </c>
      <c r="U108" s="194">
        <v>0.41699999999999998</v>
      </c>
      <c r="V108" s="194">
        <v>24</v>
      </c>
      <c r="W108" s="194">
        <v>0.70599999999999996</v>
      </c>
      <c r="X108" s="194">
        <v>0.94099999999999995</v>
      </c>
      <c r="Y108" s="194">
        <v>17</v>
      </c>
      <c r="Z108" s="194">
        <v>0.97399999999999998</v>
      </c>
      <c r="AA108" s="194">
        <v>1</v>
      </c>
      <c r="AB108" s="194">
        <v>10</v>
      </c>
      <c r="AC108" s="194">
        <v>0.96899999999999997</v>
      </c>
      <c r="AD108" s="194">
        <v>1</v>
      </c>
      <c r="AE108" s="194">
        <v>11</v>
      </c>
      <c r="AF108" s="194">
        <v>0.93500000000000005</v>
      </c>
      <c r="AG108" s="194">
        <v>0.90900000000000003</v>
      </c>
      <c r="AH108" s="194">
        <v>11</v>
      </c>
      <c r="AI108" s="194">
        <v>0.91400000000000003</v>
      </c>
      <c r="AJ108" s="194">
        <v>0.91700000000000004</v>
      </c>
      <c r="AK108" s="194">
        <v>24</v>
      </c>
      <c r="AL108" s="55"/>
      <c r="AM108" s="55"/>
      <c r="AN108" s="55"/>
      <c r="AO108" s="55"/>
      <c r="AP108" s="55"/>
      <c r="AQ108" s="55"/>
      <c r="AR108" s="55"/>
      <c r="AS108" s="55"/>
      <c r="AT108" s="55"/>
      <c r="AU108" s="55"/>
      <c r="AV108" s="55"/>
      <c r="AW108" s="55"/>
      <c r="AX108" s="55"/>
      <c r="AY108" s="55"/>
      <c r="AZ108" s="55"/>
      <c r="BA108" s="55"/>
      <c r="BB108" s="55"/>
      <c r="BC108" s="55"/>
      <c r="BD108" s="55"/>
      <c r="BE108" s="55"/>
      <c r="BF108" s="55"/>
      <c r="BG108" s="55"/>
      <c r="BH108" s="55"/>
      <c r="BI108" s="55"/>
    </row>
    <row r="109" spans="1:61" x14ac:dyDescent="0.3">
      <c r="A109" s="193" t="s">
        <v>546</v>
      </c>
      <c r="B109" s="194">
        <v>0.95799999999999996</v>
      </c>
      <c r="C109" s="194">
        <v>0.875</v>
      </c>
      <c r="D109" s="194">
        <v>8</v>
      </c>
      <c r="E109" s="194">
        <v>0.96699999999999997</v>
      </c>
      <c r="F109" s="194">
        <v>1</v>
      </c>
      <c r="G109" s="194">
        <v>16</v>
      </c>
      <c r="H109" s="194">
        <v>1</v>
      </c>
      <c r="I109" s="194">
        <v>1</v>
      </c>
      <c r="J109" s="194">
        <v>6</v>
      </c>
      <c r="K109" s="194">
        <v>0.91700000000000004</v>
      </c>
      <c r="L109" s="194">
        <v>1</v>
      </c>
      <c r="M109" s="194">
        <v>7</v>
      </c>
      <c r="N109" s="194">
        <v>0.88500000000000001</v>
      </c>
      <c r="O109" s="194">
        <v>0.81799999999999995</v>
      </c>
      <c r="P109" s="194">
        <v>11</v>
      </c>
      <c r="Q109" s="194">
        <v>0.86399999999999999</v>
      </c>
      <c r="R109" s="194">
        <v>0.875</v>
      </c>
      <c r="S109" s="194">
        <v>8</v>
      </c>
      <c r="T109" s="194">
        <v>0.95</v>
      </c>
      <c r="U109" s="194">
        <v>1</v>
      </c>
      <c r="V109" s="194">
        <v>3</v>
      </c>
      <c r="W109" s="194">
        <v>0.96799999999999997</v>
      </c>
      <c r="X109" s="194">
        <v>1</v>
      </c>
      <c r="Y109" s="194">
        <v>9</v>
      </c>
      <c r="Z109" s="194">
        <v>0.94299999999999995</v>
      </c>
      <c r="AA109" s="194">
        <v>0.94699999999999995</v>
      </c>
      <c r="AB109" s="194">
        <v>19</v>
      </c>
      <c r="AC109" s="194">
        <v>0.94099999999999995</v>
      </c>
      <c r="AD109" s="194">
        <v>0.85699999999999998</v>
      </c>
      <c r="AE109" s="194">
        <v>7</v>
      </c>
      <c r="AF109" s="194">
        <v>0.97199999999999998</v>
      </c>
      <c r="AG109" s="194">
        <v>1</v>
      </c>
      <c r="AH109" s="194">
        <v>8</v>
      </c>
      <c r="AI109" s="194">
        <v>1</v>
      </c>
      <c r="AJ109" s="194">
        <v>1</v>
      </c>
      <c r="AK109" s="194">
        <v>21</v>
      </c>
      <c r="AL109" s="55"/>
      <c r="AM109" s="55"/>
      <c r="AN109" s="55"/>
      <c r="AO109" s="55"/>
      <c r="AP109" s="55"/>
      <c r="AQ109" s="55"/>
      <c r="AR109" s="55"/>
      <c r="AS109" s="55"/>
      <c r="AT109" s="55"/>
      <c r="AU109" s="55"/>
      <c r="AV109" s="55"/>
      <c r="AW109" s="55"/>
      <c r="AX109" s="55"/>
      <c r="AY109" s="55"/>
      <c r="AZ109" s="55"/>
      <c r="BA109" s="55"/>
      <c r="BB109" s="55"/>
      <c r="BC109" s="55"/>
      <c r="BD109" s="55"/>
      <c r="BE109" s="55"/>
      <c r="BF109" s="55"/>
      <c r="BG109" s="55"/>
      <c r="BH109" s="55"/>
      <c r="BI109" s="55"/>
    </row>
    <row r="110" spans="1:61" x14ac:dyDescent="0.3">
      <c r="A110" s="193" t="s">
        <v>538</v>
      </c>
      <c r="B110" s="194">
        <v>1</v>
      </c>
      <c r="C110" s="194">
        <v>1</v>
      </c>
      <c r="D110" s="194">
        <v>4</v>
      </c>
      <c r="E110" s="194">
        <v>1</v>
      </c>
      <c r="F110" s="194">
        <v>1</v>
      </c>
      <c r="G110" s="194">
        <v>4</v>
      </c>
      <c r="H110" s="194">
        <v>1</v>
      </c>
      <c r="I110" s="194">
        <v>1</v>
      </c>
      <c r="J110" s="194">
        <v>3</v>
      </c>
      <c r="K110" s="194">
        <v>1</v>
      </c>
      <c r="L110" s="194">
        <v>1</v>
      </c>
      <c r="M110" s="194">
        <v>4</v>
      </c>
      <c r="N110" s="194">
        <v>0.83299999999999996</v>
      </c>
      <c r="O110" s="194">
        <v>1</v>
      </c>
      <c r="P110" s="194">
        <v>1</v>
      </c>
      <c r="Q110" s="194">
        <v>0.75</v>
      </c>
      <c r="R110" s="194">
        <v>0</v>
      </c>
      <c r="S110" s="194">
        <v>1</v>
      </c>
      <c r="T110" s="194">
        <v>0.75</v>
      </c>
      <c r="U110" s="194">
        <v>1</v>
      </c>
      <c r="V110" s="194">
        <v>2</v>
      </c>
      <c r="W110" s="194">
        <v>1</v>
      </c>
      <c r="X110" s="194">
        <v>1</v>
      </c>
      <c r="Y110" s="194">
        <v>1</v>
      </c>
      <c r="Z110" s="194">
        <v>1</v>
      </c>
      <c r="AA110" s="194"/>
      <c r="AB110" s="194"/>
      <c r="AC110" s="194">
        <v>0.83299999999999996</v>
      </c>
      <c r="AD110" s="194">
        <v>1</v>
      </c>
      <c r="AE110" s="194">
        <v>1</v>
      </c>
      <c r="AF110" s="194">
        <v>0.875</v>
      </c>
      <c r="AG110" s="194">
        <v>0.8</v>
      </c>
      <c r="AH110" s="194">
        <v>5</v>
      </c>
      <c r="AI110" s="194">
        <v>0.85699999999999998</v>
      </c>
      <c r="AJ110" s="194">
        <v>1</v>
      </c>
      <c r="AK110" s="194">
        <v>2</v>
      </c>
      <c r="AL110" s="55"/>
      <c r="AM110" s="55"/>
      <c r="AN110" s="55"/>
      <c r="AO110" s="55"/>
      <c r="AP110" s="55"/>
      <c r="AQ110" s="55"/>
      <c r="AR110" s="55"/>
      <c r="AS110" s="55"/>
      <c r="AT110" s="55"/>
      <c r="AU110" s="55"/>
      <c r="AV110" s="55"/>
      <c r="AW110" s="55"/>
      <c r="AX110" s="55"/>
      <c r="AY110" s="55"/>
      <c r="AZ110" s="55"/>
      <c r="BA110" s="55"/>
      <c r="BB110" s="55"/>
      <c r="BC110" s="55"/>
      <c r="BD110" s="55"/>
      <c r="BE110" s="55"/>
      <c r="BF110" s="55"/>
      <c r="BG110" s="55"/>
      <c r="BH110" s="55"/>
      <c r="BI110" s="55"/>
    </row>
    <row r="111" spans="1:61" x14ac:dyDescent="0.3">
      <c r="A111" s="193" t="s">
        <v>303</v>
      </c>
      <c r="B111" s="194">
        <v>1</v>
      </c>
      <c r="C111" s="194">
        <v>1</v>
      </c>
      <c r="D111" s="194">
        <v>5</v>
      </c>
      <c r="E111" s="194">
        <v>1</v>
      </c>
      <c r="F111" s="194">
        <v>1</v>
      </c>
      <c r="G111" s="194">
        <v>13</v>
      </c>
      <c r="H111" s="194">
        <v>1</v>
      </c>
      <c r="I111" s="194">
        <v>1</v>
      </c>
      <c r="J111" s="194">
        <v>3</v>
      </c>
      <c r="K111" s="194">
        <v>1</v>
      </c>
      <c r="L111" s="194">
        <v>1</v>
      </c>
      <c r="M111" s="194">
        <v>9</v>
      </c>
      <c r="N111" s="194">
        <v>1</v>
      </c>
      <c r="O111" s="194">
        <v>1</v>
      </c>
      <c r="P111" s="194">
        <v>13</v>
      </c>
      <c r="Q111" s="194">
        <v>1</v>
      </c>
      <c r="R111" s="194">
        <v>1</v>
      </c>
      <c r="S111" s="194">
        <v>9</v>
      </c>
      <c r="T111" s="194">
        <v>1</v>
      </c>
      <c r="U111" s="194">
        <v>1</v>
      </c>
      <c r="V111" s="194">
        <v>4</v>
      </c>
      <c r="W111" s="194">
        <v>1</v>
      </c>
      <c r="X111" s="194">
        <v>1</v>
      </c>
      <c r="Y111" s="194">
        <v>13</v>
      </c>
      <c r="Z111" s="194">
        <v>1</v>
      </c>
      <c r="AA111" s="194">
        <v>1</v>
      </c>
      <c r="AB111" s="194">
        <v>8</v>
      </c>
      <c r="AC111" s="194">
        <v>0.93899999999999995</v>
      </c>
      <c r="AD111" s="194">
        <v>1</v>
      </c>
      <c r="AE111" s="194">
        <v>9</v>
      </c>
      <c r="AF111" s="194">
        <v>0.93500000000000005</v>
      </c>
      <c r="AG111" s="194">
        <v>0.875</v>
      </c>
      <c r="AH111" s="194">
        <v>16</v>
      </c>
      <c r="AI111" s="194">
        <v>0.90900000000000003</v>
      </c>
      <c r="AJ111" s="194">
        <v>1</v>
      </c>
      <c r="AK111" s="194">
        <v>6</v>
      </c>
      <c r="AL111" s="55"/>
      <c r="AM111" s="55"/>
      <c r="AN111" s="55"/>
      <c r="AO111" s="55"/>
      <c r="AP111" s="55"/>
      <c r="AQ111" s="55"/>
      <c r="AR111" s="55"/>
      <c r="AS111" s="55"/>
      <c r="AT111" s="55"/>
      <c r="AU111" s="55"/>
      <c r="AV111" s="55"/>
      <c r="AW111" s="55"/>
      <c r="AX111" s="55"/>
      <c r="AY111" s="55"/>
      <c r="AZ111" s="55"/>
      <c r="BA111" s="55"/>
      <c r="BB111" s="55"/>
      <c r="BC111" s="55"/>
      <c r="BD111" s="55"/>
      <c r="BE111" s="55"/>
      <c r="BF111" s="55"/>
      <c r="BG111" s="55"/>
      <c r="BH111" s="55"/>
      <c r="BI111" s="55"/>
    </row>
    <row r="112" spans="1:61" x14ac:dyDescent="0.3">
      <c r="A112" s="193" t="s">
        <v>433</v>
      </c>
      <c r="B112" s="194">
        <v>0.96699999999999997</v>
      </c>
      <c r="C112" s="194">
        <v>0.93799999999999994</v>
      </c>
      <c r="D112" s="194">
        <v>16</v>
      </c>
      <c r="E112" s="194">
        <v>0.97699999999999998</v>
      </c>
      <c r="F112" s="194">
        <v>1</v>
      </c>
      <c r="G112" s="194">
        <v>14</v>
      </c>
      <c r="H112" s="194">
        <v>1</v>
      </c>
      <c r="I112" s="194">
        <v>1</v>
      </c>
      <c r="J112" s="194">
        <v>14</v>
      </c>
      <c r="K112" s="194">
        <v>1</v>
      </c>
      <c r="L112" s="194">
        <v>1</v>
      </c>
      <c r="M112" s="194">
        <v>17</v>
      </c>
      <c r="N112" s="194">
        <v>1</v>
      </c>
      <c r="O112" s="194">
        <v>1</v>
      </c>
      <c r="P112" s="194">
        <v>8</v>
      </c>
      <c r="Q112" s="194">
        <v>1</v>
      </c>
      <c r="R112" s="194">
        <v>1</v>
      </c>
      <c r="S112" s="194">
        <v>14</v>
      </c>
      <c r="T112" s="194">
        <v>1</v>
      </c>
      <c r="U112" s="194">
        <v>1</v>
      </c>
      <c r="V112" s="194">
        <v>12</v>
      </c>
      <c r="W112" s="194">
        <v>1</v>
      </c>
      <c r="X112" s="194">
        <v>1</v>
      </c>
      <c r="Y112" s="194">
        <v>15</v>
      </c>
      <c r="Z112" s="194">
        <v>1</v>
      </c>
      <c r="AA112" s="194">
        <v>1</v>
      </c>
      <c r="AB112" s="194">
        <v>25</v>
      </c>
      <c r="AC112" s="194">
        <v>1</v>
      </c>
      <c r="AD112" s="194">
        <v>1</v>
      </c>
      <c r="AE112" s="194">
        <v>13</v>
      </c>
      <c r="AF112" s="194">
        <v>1</v>
      </c>
      <c r="AG112" s="194">
        <v>1</v>
      </c>
      <c r="AH112" s="194">
        <v>18</v>
      </c>
      <c r="AI112" s="194">
        <v>1</v>
      </c>
      <c r="AJ112" s="194">
        <v>1</v>
      </c>
      <c r="AK112" s="194">
        <v>37</v>
      </c>
      <c r="AL112" s="55"/>
      <c r="AM112" s="55"/>
      <c r="AN112" s="55"/>
      <c r="AO112" s="55"/>
      <c r="AP112" s="55"/>
      <c r="AQ112" s="55"/>
      <c r="AR112" s="55"/>
      <c r="AS112" s="55"/>
      <c r="AT112" s="55"/>
      <c r="AU112" s="55"/>
      <c r="AV112" s="55"/>
      <c r="AW112" s="55"/>
      <c r="AX112" s="55"/>
      <c r="AY112" s="55"/>
      <c r="AZ112" s="55"/>
      <c r="BA112" s="55"/>
      <c r="BB112" s="55"/>
      <c r="BC112" s="55"/>
      <c r="BD112" s="55"/>
      <c r="BE112" s="55"/>
      <c r="BF112" s="55"/>
      <c r="BG112" s="55"/>
      <c r="BH112" s="55"/>
      <c r="BI112" s="55"/>
    </row>
    <row r="113" spans="1:61" x14ac:dyDescent="0.3">
      <c r="A113" s="193" t="s">
        <v>348</v>
      </c>
      <c r="B113" s="194">
        <v>0.77800000000000002</v>
      </c>
      <c r="C113" s="194">
        <v>1</v>
      </c>
      <c r="D113" s="194">
        <v>7</v>
      </c>
      <c r="E113" s="194">
        <v>0.82899999999999996</v>
      </c>
      <c r="F113" s="194">
        <v>0.63600000000000001</v>
      </c>
      <c r="G113" s="194">
        <v>11</v>
      </c>
      <c r="H113" s="194">
        <v>0.81599999999999995</v>
      </c>
      <c r="I113" s="194">
        <v>0.88200000000000001</v>
      </c>
      <c r="J113" s="194">
        <v>17</v>
      </c>
      <c r="K113" s="194">
        <v>0.91700000000000004</v>
      </c>
      <c r="L113" s="194">
        <v>0.9</v>
      </c>
      <c r="M113" s="194">
        <v>10</v>
      </c>
      <c r="N113" s="194">
        <v>0.96199999999999997</v>
      </c>
      <c r="O113" s="194">
        <v>1</v>
      </c>
      <c r="P113" s="194">
        <v>9</v>
      </c>
      <c r="Q113" s="194">
        <v>0.95499999999999996</v>
      </c>
      <c r="R113" s="194">
        <v>1</v>
      </c>
      <c r="S113" s="194">
        <v>7</v>
      </c>
      <c r="T113" s="194">
        <v>0.9</v>
      </c>
      <c r="U113" s="194">
        <v>0.83299999999999996</v>
      </c>
      <c r="V113" s="194">
        <v>6</v>
      </c>
      <c r="W113" s="194">
        <v>0.92300000000000004</v>
      </c>
      <c r="X113" s="194">
        <v>0.85699999999999998</v>
      </c>
      <c r="Y113" s="194">
        <v>7</v>
      </c>
      <c r="Z113" s="194">
        <v>0.95799999999999996</v>
      </c>
      <c r="AA113" s="194">
        <v>1</v>
      </c>
      <c r="AB113" s="194">
        <v>13</v>
      </c>
      <c r="AC113" s="194">
        <v>0.92900000000000005</v>
      </c>
      <c r="AD113" s="194">
        <v>1</v>
      </c>
      <c r="AE113" s="194">
        <v>4</v>
      </c>
      <c r="AF113" s="194">
        <v>0.88</v>
      </c>
      <c r="AG113" s="194">
        <v>0.81799999999999995</v>
      </c>
      <c r="AH113" s="194">
        <v>11</v>
      </c>
      <c r="AI113" s="194">
        <v>0.85699999999999998</v>
      </c>
      <c r="AJ113" s="194">
        <v>0.9</v>
      </c>
      <c r="AK113" s="194">
        <v>10</v>
      </c>
      <c r="AL113" s="55"/>
      <c r="AM113" s="55"/>
      <c r="AN113" s="55"/>
      <c r="AO113" s="55"/>
      <c r="AP113" s="55"/>
      <c r="AQ113" s="55"/>
      <c r="AR113" s="55"/>
      <c r="AS113" s="55"/>
      <c r="AT113" s="55"/>
      <c r="AU113" s="55"/>
      <c r="AV113" s="55"/>
      <c r="AW113" s="55"/>
      <c r="AX113" s="55"/>
      <c r="AY113" s="55"/>
      <c r="AZ113" s="55"/>
      <c r="BA113" s="55"/>
      <c r="BB113" s="55"/>
      <c r="BC113" s="55"/>
      <c r="BD113" s="55"/>
      <c r="BE113" s="55"/>
      <c r="BF113" s="55"/>
      <c r="BG113" s="55"/>
      <c r="BH113" s="55"/>
      <c r="BI113" s="55"/>
    </row>
    <row r="114" spans="1:61" x14ac:dyDescent="0.3">
      <c r="A114" s="193" t="s">
        <v>410</v>
      </c>
      <c r="B114" s="194">
        <v>0.96699999999999997</v>
      </c>
      <c r="C114" s="194">
        <v>0.94399999999999995</v>
      </c>
      <c r="D114" s="194">
        <v>18</v>
      </c>
      <c r="E114" s="194">
        <v>0.95199999999999996</v>
      </c>
      <c r="F114" s="194">
        <v>1</v>
      </c>
      <c r="G114" s="194">
        <v>12</v>
      </c>
      <c r="H114" s="194">
        <v>0.97199999999999998</v>
      </c>
      <c r="I114" s="194">
        <v>0.91700000000000004</v>
      </c>
      <c r="J114" s="194">
        <v>12</v>
      </c>
      <c r="K114" s="194">
        <v>0.97</v>
      </c>
      <c r="L114" s="194">
        <v>1</v>
      </c>
      <c r="M114" s="194">
        <v>12</v>
      </c>
      <c r="N114" s="194">
        <v>1</v>
      </c>
      <c r="O114" s="194">
        <v>1</v>
      </c>
      <c r="P114" s="194">
        <v>9</v>
      </c>
      <c r="Q114" s="194">
        <v>1</v>
      </c>
      <c r="R114" s="194">
        <v>1</v>
      </c>
      <c r="S114" s="194">
        <v>8</v>
      </c>
      <c r="T114" s="194">
        <v>1</v>
      </c>
      <c r="U114" s="194">
        <v>1</v>
      </c>
      <c r="V114" s="194">
        <v>10</v>
      </c>
      <c r="W114" s="194">
        <v>1</v>
      </c>
      <c r="X114" s="194">
        <v>1</v>
      </c>
      <c r="Y114" s="194">
        <v>8</v>
      </c>
      <c r="Z114" s="194">
        <v>0.95799999999999996</v>
      </c>
      <c r="AA114" s="194">
        <v>1</v>
      </c>
      <c r="AB114" s="194">
        <v>7</v>
      </c>
      <c r="AC114" s="194">
        <v>0.91200000000000003</v>
      </c>
      <c r="AD114" s="194">
        <v>0.88900000000000001</v>
      </c>
      <c r="AE114" s="194">
        <v>9</v>
      </c>
      <c r="AF114" s="194">
        <v>0.91400000000000003</v>
      </c>
      <c r="AG114" s="194">
        <v>0.88900000000000001</v>
      </c>
      <c r="AH114" s="194">
        <v>18</v>
      </c>
      <c r="AI114" s="194">
        <v>0.92300000000000004</v>
      </c>
      <c r="AJ114" s="194">
        <v>1</v>
      </c>
      <c r="AK114" s="194">
        <v>8</v>
      </c>
      <c r="AL114" s="55"/>
      <c r="AM114" s="55"/>
      <c r="AN114" s="55"/>
      <c r="AO114" s="55"/>
      <c r="AP114" s="55"/>
      <c r="AQ114" s="55"/>
      <c r="AR114" s="55"/>
      <c r="AS114" s="55"/>
      <c r="AT114" s="55"/>
      <c r="AU114" s="55"/>
      <c r="AV114" s="55"/>
      <c r="AW114" s="55"/>
      <c r="AX114" s="55"/>
      <c r="AY114" s="55"/>
      <c r="AZ114" s="55"/>
      <c r="BA114" s="55"/>
      <c r="BB114" s="55"/>
      <c r="BC114" s="55"/>
      <c r="BD114" s="55"/>
      <c r="BE114" s="55"/>
      <c r="BF114" s="55"/>
      <c r="BG114" s="55"/>
      <c r="BH114" s="55"/>
      <c r="BI114" s="55"/>
    </row>
    <row r="115" spans="1:61" x14ac:dyDescent="0.3">
      <c r="A115" s="193" t="s">
        <v>460</v>
      </c>
      <c r="B115" s="194">
        <v>1</v>
      </c>
      <c r="C115" s="194">
        <v>1</v>
      </c>
      <c r="D115" s="194">
        <v>11</v>
      </c>
      <c r="E115" s="194">
        <v>0.96199999999999997</v>
      </c>
      <c r="F115" s="194">
        <v>1</v>
      </c>
      <c r="G115" s="194">
        <v>9</v>
      </c>
      <c r="H115" s="194">
        <v>0.95699999999999996</v>
      </c>
      <c r="I115" s="194">
        <v>0.83299999999999996</v>
      </c>
      <c r="J115" s="194">
        <v>6</v>
      </c>
      <c r="K115" s="194">
        <v>0.95699999999999996</v>
      </c>
      <c r="L115" s="194">
        <v>1</v>
      </c>
      <c r="M115" s="194">
        <v>8</v>
      </c>
      <c r="N115" s="194">
        <v>1</v>
      </c>
      <c r="O115" s="194">
        <v>1</v>
      </c>
      <c r="P115" s="194">
        <v>9</v>
      </c>
      <c r="Q115" s="194">
        <v>1</v>
      </c>
      <c r="R115" s="194">
        <v>1</v>
      </c>
      <c r="S115" s="194">
        <v>9</v>
      </c>
      <c r="T115" s="194">
        <v>0.95499999999999996</v>
      </c>
      <c r="U115" s="194">
        <v>1</v>
      </c>
      <c r="V115" s="194">
        <v>7</v>
      </c>
      <c r="W115" s="194">
        <v>0.94399999999999995</v>
      </c>
      <c r="X115" s="194">
        <v>0.83299999999999996</v>
      </c>
      <c r="Y115" s="194">
        <v>6</v>
      </c>
      <c r="Z115" s="194">
        <v>0.95699999999999996</v>
      </c>
      <c r="AA115" s="194">
        <v>1</v>
      </c>
      <c r="AB115" s="194">
        <v>5</v>
      </c>
      <c r="AC115" s="194">
        <v>1</v>
      </c>
      <c r="AD115" s="194">
        <v>1</v>
      </c>
      <c r="AE115" s="194">
        <v>12</v>
      </c>
      <c r="AF115" s="194">
        <v>1</v>
      </c>
      <c r="AG115" s="194">
        <v>1</v>
      </c>
      <c r="AH115" s="194">
        <v>7</v>
      </c>
      <c r="AI115" s="194">
        <v>1</v>
      </c>
      <c r="AJ115" s="194">
        <v>1</v>
      </c>
      <c r="AK115" s="194">
        <v>5</v>
      </c>
      <c r="AL115" s="55"/>
      <c r="AM115" s="55"/>
      <c r="AN115" s="55"/>
      <c r="AO115" s="55"/>
      <c r="AP115" s="55"/>
      <c r="AQ115" s="55"/>
      <c r="AR115" s="55"/>
      <c r="AS115" s="55"/>
      <c r="AT115" s="55"/>
      <c r="AU115" s="55"/>
      <c r="AV115" s="55"/>
      <c r="AW115" s="55"/>
      <c r="AX115" s="55"/>
      <c r="AY115" s="55"/>
      <c r="AZ115" s="55"/>
      <c r="BA115" s="55"/>
      <c r="BB115" s="55"/>
      <c r="BC115" s="55"/>
      <c r="BD115" s="55"/>
      <c r="BE115" s="55"/>
      <c r="BF115" s="55"/>
      <c r="BG115" s="55"/>
      <c r="BH115" s="55"/>
      <c r="BI115" s="55"/>
    </row>
    <row r="116" spans="1:61" x14ac:dyDescent="0.3">
      <c r="A116" s="193" t="s">
        <v>288</v>
      </c>
      <c r="B116" s="194">
        <v>1</v>
      </c>
      <c r="C116" s="194">
        <v>1</v>
      </c>
      <c r="D116" s="194">
        <v>6</v>
      </c>
      <c r="E116" s="194">
        <v>0.93300000000000005</v>
      </c>
      <c r="F116" s="194">
        <v>1</v>
      </c>
      <c r="G116" s="194">
        <v>5</v>
      </c>
      <c r="H116" s="194">
        <v>0.92300000000000004</v>
      </c>
      <c r="I116" s="194">
        <v>0.75</v>
      </c>
      <c r="J116" s="194">
        <v>4</v>
      </c>
      <c r="K116" s="194">
        <v>0.91700000000000004</v>
      </c>
      <c r="L116" s="194">
        <v>1</v>
      </c>
      <c r="M116" s="194">
        <v>4</v>
      </c>
      <c r="N116" s="194">
        <v>0.78600000000000003</v>
      </c>
      <c r="O116" s="194">
        <v>1</v>
      </c>
      <c r="P116" s="194">
        <v>4</v>
      </c>
      <c r="Q116" s="194">
        <v>0.8</v>
      </c>
      <c r="R116" s="194">
        <v>0.5</v>
      </c>
      <c r="S116" s="194">
        <v>6</v>
      </c>
      <c r="T116" s="194">
        <v>0.82399999999999995</v>
      </c>
      <c r="U116" s="194">
        <v>1</v>
      </c>
      <c r="V116" s="194">
        <v>5</v>
      </c>
      <c r="W116" s="194">
        <v>1</v>
      </c>
      <c r="X116" s="194">
        <v>1</v>
      </c>
      <c r="Y116" s="194">
        <v>6</v>
      </c>
      <c r="Z116" s="194">
        <v>1</v>
      </c>
      <c r="AA116" s="194">
        <v>1</v>
      </c>
      <c r="AB116" s="194">
        <v>6</v>
      </c>
      <c r="AC116" s="194">
        <v>1</v>
      </c>
      <c r="AD116" s="194">
        <v>1</v>
      </c>
      <c r="AE116" s="194">
        <v>1</v>
      </c>
      <c r="AF116" s="194">
        <v>0.88900000000000001</v>
      </c>
      <c r="AG116" s="194">
        <v>1</v>
      </c>
      <c r="AH116" s="194">
        <v>4</v>
      </c>
      <c r="AI116" s="194">
        <v>0.875</v>
      </c>
      <c r="AJ116" s="194">
        <v>0.75</v>
      </c>
      <c r="AK116" s="194">
        <v>4</v>
      </c>
      <c r="AL116" s="55"/>
      <c r="AM116" s="55"/>
      <c r="AN116" s="55"/>
      <c r="AO116" s="55"/>
      <c r="AP116" s="55"/>
      <c r="AQ116" s="55"/>
      <c r="AR116" s="55"/>
      <c r="AS116" s="55"/>
      <c r="AT116" s="55"/>
      <c r="AU116" s="55"/>
      <c r="AV116" s="55"/>
      <c r="AW116" s="55"/>
      <c r="AX116" s="55"/>
      <c r="AY116" s="55"/>
      <c r="AZ116" s="55"/>
      <c r="BA116" s="55"/>
      <c r="BB116" s="55"/>
      <c r="BC116" s="55"/>
      <c r="BD116" s="55"/>
      <c r="BE116" s="55"/>
      <c r="BF116" s="55"/>
      <c r="BG116" s="55"/>
      <c r="BH116" s="55"/>
      <c r="BI116" s="55"/>
    </row>
    <row r="117" spans="1:61" x14ac:dyDescent="0.3">
      <c r="A117" s="193" t="s">
        <v>388</v>
      </c>
      <c r="B117" s="194">
        <v>0.94399999999999995</v>
      </c>
      <c r="C117" s="194">
        <v>0.9</v>
      </c>
      <c r="D117" s="194">
        <v>10</v>
      </c>
      <c r="E117" s="194">
        <v>0.96</v>
      </c>
      <c r="F117" s="194">
        <v>1</v>
      </c>
      <c r="G117" s="194">
        <v>8</v>
      </c>
      <c r="H117" s="194">
        <v>0.95499999999999996</v>
      </c>
      <c r="I117" s="194">
        <v>1</v>
      </c>
      <c r="J117" s="194">
        <v>7</v>
      </c>
      <c r="K117" s="194">
        <v>0.94099999999999995</v>
      </c>
      <c r="L117" s="194">
        <v>0.85699999999999998</v>
      </c>
      <c r="M117" s="194">
        <v>7</v>
      </c>
      <c r="N117" s="194">
        <v>0.86699999999999999</v>
      </c>
      <c r="O117" s="194">
        <v>1</v>
      </c>
      <c r="P117" s="194">
        <v>3</v>
      </c>
      <c r="Q117" s="194">
        <v>0.92900000000000005</v>
      </c>
      <c r="R117" s="194">
        <v>0.8</v>
      </c>
      <c r="S117" s="194">
        <v>5</v>
      </c>
      <c r="T117" s="194">
        <v>0.93799999999999994</v>
      </c>
      <c r="U117" s="194">
        <v>1</v>
      </c>
      <c r="V117" s="194">
        <v>6</v>
      </c>
      <c r="W117" s="194">
        <v>1</v>
      </c>
      <c r="X117" s="194">
        <v>1</v>
      </c>
      <c r="Y117" s="194">
        <v>5</v>
      </c>
      <c r="Z117" s="194">
        <v>1</v>
      </c>
      <c r="AA117" s="194">
        <v>1</v>
      </c>
      <c r="AB117" s="194">
        <v>8</v>
      </c>
      <c r="AC117" s="194">
        <v>1</v>
      </c>
      <c r="AD117" s="194">
        <v>1</v>
      </c>
      <c r="AE117" s="194">
        <v>10</v>
      </c>
      <c r="AF117" s="194">
        <v>1</v>
      </c>
      <c r="AG117" s="194">
        <v>1</v>
      </c>
      <c r="AH117" s="194">
        <v>7</v>
      </c>
      <c r="AI117" s="194">
        <v>1</v>
      </c>
      <c r="AJ117" s="194">
        <v>1</v>
      </c>
      <c r="AK117" s="194">
        <v>14</v>
      </c>
      <c r="AL117" s="55"/>
      <c r="AM117" s="55"/>
      <c r="AN117" s="55"/>
      <c r="AO117" s="55"/>
      <c r="AP117" s="55"/>
      <c r="AQ117" s="55"/>
      <c r="AR117" s="55"/>
      <c r="AS117" s="55"/>
      <c r="AT117" s="55"/>
      <c r="AU117" s="55"/>
      <c r="AV117" s="55"/>
      <c r="AW117" s="55"/>
      <c r="AX117" s="55"/>
      <c r="AY117" s="55"/>
      <c r="AZ117" s="55"/>
      <c r="BA117" s="55"/>
      <c r="BB117" s="55"/>
      <c r="BC117" s="55"/>
      <c r="BD117" s="55"/>
      <c r="BE117" s="55"/>
      <c r="BF117" s="55"/>
      <c r="BG117" s="55"/>
      <c r="BH117" s="55"/>
      <c r="BI117" s="55"/>
    </row>
    <row r="118" spans="1:61" x14ac:dyDescent="0.3">
      <c r="A118" s="193" t="s">
        <v>322</v>
      </c>
      <c r="B118" s="194">
        <v>1</v>
      </c>
      <c r="C118" s="194"/>
      <c r="D118" s="194"/>
      <c r="E118" s="194">
        <v>1</v>
      </c>
      <c r="F118" s="194">
        <v>1</v>
      </c>
      <c r="G118" s="194">
        <v>3</v>
      </c>
      <c r="H118" s="194">
        <v>1</v>
      </c>
      <c r="I118" s="194"/>
      <c r="J118" s="194"/>
      <c r="K118" s="194">
        <v>1</v>
      </c>
      <c r="L118" s="194">
        <v>1</v>
      </c>
      <c r="M118" s="194">
        <v>1</v>
      </c>
      <c r="N118" s="194">
        <v>1</v>
      </c>
      <c r="O118" s="194">
        <v>1</v>
      </c>
      <c r="P118" s="194">
        <v>1</v>
      </c>
      <c r="Q118" s="194">
        <v>1</v>
      </c>
      <c r="R118" s="194">
        <v>1</v>
      </c>
      <c r="S118" s="194">
        <v>4</v>
      </c>
      <c r="T118" s="194">
        <v>1</v>
      </c>
      <c r="U118" s="194">
        <v>1</v>
      </c>
      <c r="V118" s="194">
        <v>1</v>
      </c>
      <c r="W118" s="194">
        <v>1</v>
      </c>
      <c r="X118" s="194">
        <v>1</v>
      </c>
      <c r="Y118" s="194">
        <v>2</v>
      </c>
      <c r="Z118" s="194">
        <v>1</v>
      </c>
      <c r="AA118" s="194">
        <v>1</v>
      </c>
      <c r="AB118" s="194">
        <v>3</v>
      </c>
      <c r="AC118" s="194">
        <v>1</v>
      </c>
      <c r="AD118" s="194">
        <v>1</v>
      </c>
      <c r="AE118" s="194">
        <v>1</v>
      </c>
      <c r="AF118" s="194">
        <v>1</v>
      </c>
      <c r="AG118" s="194">
        <v>1</v>
      </c>
      <c r="AH118" s="194">
        <v>13</v>
      </c>
      <c r="AI118" s="194">
        <v>1</v>
      </c>
      <c r="AJ118" s="194">
        <v>1</v>
      </c>
      <c r="AK118" s="194">
        <v>3</v>
      </c>
      <c r="AL118" s="55"/>
      <c r="AM118" s="55"/>
      <c r="AN118" s="55"/>
      <c r="AO118" s="55"/>
      <c r="AP118" s="55"/>
      <c r="AQ118" s="55"/>
      <c r="AR118" s="55"/>
      <c r="AS118" s="55"/>
      <c r="AT118" s="55"/>
      <c r="AU118" s="55"/>
      <c r="AV118" s="55"/>
      <c r="AW118" s="55"/>
      <c r="AX118" s="55"/>
      <c r="AY118" s="55"/>
      <c r="AZ118" s="55"/>
      <c r="BA118" s="55"/>
      <c r="BB118" s="55"/>
      <c r="BC118" s="55"/>
      <c r="BD118" s="55"/>
      <c r="BE118" s="55"/>
      <c r="BF118" s="55"/>
      <c r="BG118" s="55"/>
      <c r="BH118" s="55"/>
      <c r="BI118" s="55"/>
    </row>
    <row r="119" spans="1:61" x14ac:dyDescent="0.3">
      <c r="A119" s="193" t="s">
        <v>299</v>
      </c>
      <c r="B119" s="194">
        <v>1</v>
      </c>
      <c r="C119" s="194">
        <v>1</v>
      </c>
      <c r="D119" s="194">
        <v>14</v>
      </c>
      <c r="E119" s="194">
        <v>0.94099999999999995</v>
      </c>
      <c r="F119" s="194">
        <v>1</v>
      </c>
      <c r="G119" s="194">
        <v>5</v>
      </c>
      <c r="H119" s="194">
        <v>0.92300000000000004</v>
      </c>
      <c r="I119" s="194">
        <v>0.86699999999999999</v>
      </c>
      <c r="J119" s="194">
        <v>15</v>
      </c>
      <c r="K119" s="194">
        <v>0.92600000000000005</v>
      </c>
      <c r="L119" s="194">
        <v>1</v>
      </c>
      <c r="M119" s="194">
        <v>6</v>
      </c>
      <c r="N119" s="194">
        <v>1</v>
      </c>
      <c r="O119" s="194">
        <v>1</v>
      </c>
      <c r="P119" s="194">
        <v>6</v>
      </c>
      <c r="Q119" s="194">
        <v>1</v>
      </c>
      <c r="R119" s="194">
        <v>1</v>
      </c>
      <c r="S119" s="194">
        <v>6</v>
      </c>
      <c r="T119" s="194">
        <v>0.94699999999999995</v>
      </c>
      <c r="U119" s="194">
        <v>1</v>
      </c>
      <c r="V119" s="194">
        <v>5</v>
      </c>
      <c r="W119" s="194">
        <v>0.94699999999999995</v>
      </c>
      <c r="X119" s="194">
        <v>0.875</v>
      </c>
      <c r="Y119" s="194">
        <v>8</v>
      </c>
      <c r="Z119" s="194">
        <v>0.95199999999999996</v>
      </c>
      <c r="AA119" s="194">
        <v>1</v>
      </c>
      <c r="AB119" s="194">
        <v>6</v>
      </c>
      <c r="AC119" s="194">
        <v>1</v>
      </c>
      <c r="AD119" s="194">
        <v>1</v>
      </c>
      <c r="AE119" s="194">
        <v>7</v>
      </c>
      <c r="AF119" s="194">
        <v>0.95499999999999996</v>
      </c>
      <c r="AG119" s="194">
        <v>1</v>
      </c>
      <c r="AH119" s="194">
        <v>4</v>
      </c>
      <c r="AI119" s="194">
        <v>0.93300000000000005</v>
      </c>
      <c r="AJ119" s="194">
        <v>0.90900000000000003</v>
      </c>
      <c r="AK119" s="194">
        <v>11</v>
      </c>
      <c r="AL119" s="55"/>
      <c r="AM119" s="55"/>
      <c r="AN119" s="55"/>
      <c r="AO119" s="55"/>
      <c r="AP119" s="55"/>
      <c r="AQ119" s="55"/>
      <c r="AR119" s="55"/>
      <c r="AS119" s="55"/>
      <c r="AT119" s="55"/>
      <c r="AU119" s="55"/>
      <c r="AV119" s="55"/>
      <c r="AW119" s="55"/>
      <c r="AX119" s="55"/>
      <c r="AY119" s="55"/>
      <c r="AZ119" s="55"/>
      <c r="BA119" s="55"/>
      <c r="BB119" s="55"/>
      <c r="BC119" s="55"/>
      <c r="BD119" s="55"/>
      <c r="BE119" s="55"/>
      <c r="BF119" s="55"/>
      <c r="BG119" s="55"/>
      <c r="BH119" s="55"/>
      <c r="BI119" s="55"/>
    </row>
    <row r="120" spans="1:61" x14ac:dyDescent="0.3">
      <c r="A120" s="193" t="s">
        <v>343</v>
      </c>
      <c r="B120" s="194">
        <v>0.875</v>
      </c>
      <c r="C120" s="194">
        <v>0.90500000000000003</v>
      </c>
      <c r="D120" s="194">
        <v>21</v>
      </c>
      <c r="E120" s="194">
        <v>0.91800000000000004</v>
      </c>
      <c r="F120" s="194">
        <v>0.84199999999999997</v>
      </c>
      <c r="G120" s="194">
        <v>19</v>
      </c>
      <c r="H120" s="194">
        <v>0.92900000000000005</v>
      </c>
      <c r="I120" s="194">
        <v>1</v>
      </c>
      <c r="J120" s="194">
        <v>21</v>
      </c>
      <c r="K120" s="194">
        <v>0.97799999999999998</v>
      </c>
      <c r="L120" s="194">
        <v>0.93799999999999994</v>
      </c>
      <c r="M120" s="194">
        <v>16</v>
      </c>
      <c r="N120" s="194">
        <v>0.94399999999999995</v>
      </c>
      <c r="O120" s="194">
        <v>1</v>
      </c>
      <c r="P120" s="194">
        <v>9</v>
      </c>
      <c r="Q120" s="194">
        <v>0.94599999999999995</v>
      </c>
      <c r="R120" s="194">
        <v>0.90900000000000003</v>
      </c>
      <c r="S120" s="194">
        <v>11</v>
      </c>
      <c r="T120" s="194">
        <v>0.95699999999999996</v>
      </c>
      <c r="U120" s="194">
        <v>0.94099999999999995</v>
      </c>
      <c r="V120" s="194">
        <v>17</v>
      </c>
      <c r="W120" s="194">
        <v>0.98299999999999998</v>
      </c>
      <c r="X120" s="194">
        <v>1</v>
      </c>
      <c r="Y120" s="194">
        <v>18</v>
      </c>
      <c r="Z120" s="194">
        <v>1</v>
      </c>
      <c r="AA120" s="194">
        <v>1</v>
      </c>
      <c r="AB120" s="194">
        <v>24</v>
      </c>
      <c r="AC120" s="194">
        <v>1</v>
      </c>
      <c r="AD120" s="194">
        <v>1</v>
      </c>
      <c r="AE120" s="194">
        <v>25</v>
      </c>
      <c r="AF120" s="194">
        <v>1</v>
      </c>
      <c r="AG120" s="194">
        <v>1</v>
      </c>
      <c r="AH120" s="194">
        <v>25</v>
      </c>
      <c r="AI120" s="194">
        <v>1</v>
      </c>
      <c r="AJ120" s="194">
        <v>1</v>
      </c>
      <c r="AK120" s="194">
        <v>16</v>
      </c>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row>
    <row r="121" spans="1:61" x14ac:dyDescent="0.3">
      <c r="A121" s="193" t="s">
        <v>466</v>
      </c>
      <c r="B121" s="194">
        <v>0.93799999999999994</v>
      </c>
      <c r="C121" s="194">
        <v>0.90900000000000003</v>
      </c>
      <c r="D121" s="194">
        <v>11</v>
      </c>
      <c r="E121" s="194">
        <v>0.95199999999999996</v>
      </c>
      <c r="F121" s="194">
        <v>1</v>
      </c>
      <c r="G121" s="194">
        <v>5</v>
      </c>
      <c r="H121" s="194">
        <v>1</v>
      </c>
      <c r="I121" s="194">
        <v>1</v>
      </c>
      <c r="J121" s="194">
        <v>5</v>
      </c>
      <c r="K121" s="194">
        <v>0.92900000000000005</v>
      </c>
      <c r="L121" s="194">
        <v>1</v>
      </c>
      <c r="M121" s="194">
        <v>3</v>
      </c>
      <c r="N121" s="194">
        <v>0.93799999999999994</v>
      </c>
      <c r="O121" s="194">
        <v>0.83299999999999996</v>
      </c>
      <c r="P121" s="194">
        <v>6</v>
      </c>
      <c r="Q121" s="194">
        <v>0.89500000000000002</v>
      </c>
      <c r="R121" s="194">
        <v>1</v>
      </c>
      <c r="S121" s="194">
        <v>7</v>
      </c>
      <c r="T121" s="194">
        <v>0.89500000000000002</v>
      </c>
      <c r="U121" s="194">
        <v>0.83299999999999996</v>
      </c>
      <c r="V121" s="194">
        <v>6</v>
      </c>
      <c r="W121" s="194">
        <v>0.84199999999999997</v>
      </c>
      <c r="X121" s="194">
        <v>0.83299999999999996</v>
      </c>
      <c r="Y121" s="194">
        <v>6</v>
      </c>
      <c r="Z121" s="194">
        <v>0.8</v>
      </c>
      <c r="AA121" s="194">
        <v>0.85699999999999998</v>
      </c>
      <c r="AB121" s="194">
        <v>7</v>
      </c>
      <c r="AC121" s="194">
        <v>0.83299999999999996</v>
      </c>
      <c r="AD121" s="194">
        <v>0.5</v>
      </c>
      <c r="AE121" s="194">
        <v>2</v>
      </c>
      <c r="AF121" s="194">
        <v>0.83299999999999996</v>
      </c>
      <c r="AG121" s="194">
        <v>1</v>
      </c>
      <c r="AH121" s="194">
        <v>3</v>
      </c>
      <c r="AI121" s="194">
        <v>0.9</v>
      </c>
      <c r="AJ121" s="194">
        <v>0.85699999999999998</v>
      </c>
      <c r="AK121" s="194">
        <v>7</v>
      </c>
      <c r="AL121" s="55"/>
      <c r="AM121" s="55"/>
      <c r="AN121" s="55"/>
      <c r="AO121" s="55"/>
      <c r="AP121" s="55"/>
      <c r="AQ121" s="55"/>
      <c r="AR121" s="55"/>
      <c r="AS121" s="55"/>
      <c r="AT121" s="55"/>
      <c r="AU121" s="55"/>
      <c r="AV121" s="55"/>
      <c r="AW121" s="55"/>
      <c r="AX121" s="55"/>
      <c r="AY121" s="55"/>
      <c r="AZ121" s="55"/>
      <c r="BA121" s="55"/>
      <c r="BB121" s="55"/>
      <c r="BC121" s="55"/>
      <c r="BD121" s="55"/>
      <c r="BE121" s="55"/>
      <c r="BF121" s="55"/>
      <c r="BG121" s="55"/>
      <c r="BH121" s="55"/>
      <c r="BI121" s="55"/>
    </row>
    <row r="122" spans="1:61" x14ac:dyDescent="0.3">
      <c r="A122" s="193" t="s">
        <v>376</v>
      </c>
      <c r="B122" s="194">
        <v>0.92100000000000004</v>
      </c>
      <c r="C122" s="194">
        <v>1</v>
      </c>
      <c r="D122" s="194">
        <v>23</v>
      </c>
      <c r="E122" s="194">
        <v>0.92300000000000004</v>
      </c>
      <c r="F122" s="194">
        <v>0.8</v>
      </c>
      <c r="G122" s="194">
        <v>15</v>
      </c>
      <c r="H122" s="194">
        <v>0.76</v>
      </c>
      <c r="I122" s="194">
        <v>0.92900000000000005</v>
      </c>
      <c r="J122" s="194">
        <v>14</v>
      </c>
      <c r="K122" s="194">
        <v>0.755</v>
      </c>
      <c r="L122" s="194">
        <v>0.61899999999999999</v>
      </c>
      <c r="M122" s="194">
        <v>21</v>
      </c>
      <c r="N122" s="194">
        <v>0.69199999999999995</v>
      </c>
      <c r="O122" s="194">
        <v>0.78600000000000003</v>
      </c>
      <c r="P122" s="194">
        <v>14</v>
      </c>
      <c r="Q122" s="194">
        <v>0.66700000000000004</v>
      </c>
      <c r="R122" s="194">
        <v>0.75</v>
      </c>
      <c r="S122" s="194">
        <v>4</v>
      </c>
      <c r="T122" s="194">
        <v>0.54300000000000004</v>
      </c>
      <c r="U122" s="194">
        <v>0.55600000000000005</v>
      </c>
      <c r="V122" s="194">
        <v>18</v>
      </c>
      <c r="W122" s="194">
        <v>0.58099999999999996</v>
      </c>
      <c r="X122" s="194">
        <v>0.46200000000000002</v>
      </c>
      <c r="Y122" s="194">
        <v>13</v>
      </c>
      <c r="Z122" s="194">
        <v>0.59299999999999997</v>
      </c>
      <c r="AA122" s="194">
        <v>0.75</v>
      </c>
      <c r="AB122" s="194">
        <v>12</v>
      </c>
      <c r="AC122" s="194">
        <v>0.73899999999999999</v>
      </c>
      <c r="AD122" s="194">
        <v>0.5</v>
      </c>
      <c r="AE122" s="194">
        <v>2</v>
      </c>
      <c r="AF122" s="194">
        <v>0.66700000000000004</v>
      </c>
      <c r="AG122" s="194">
        <v>0.77800000000000002</v>
      </c>
      <c r="AH122" s="194">
        <v>9</v>
      </c>
      <c r="AI122" s="194">
        <v>0.68400000000000005</v>
      </c>
      <c r="AJ122" s="194">
        <v>0.6</v>
      </c>
      <c r="AK122" s="194">
        <v>10</v>
      </c>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row>
    <row r="123" spans="1:61" x14ac:dyDescent="0.3">
      <c r="A123" s="193" t="s">
        <v>534</v>
      </c>
      <c r="B123" s="194">
        <v>0.97499999999999998</v>
      </c>
      <c r="C123" s="194">
        <v>0.94099999999999995</v>
      </c>
      <c r="D123" s="194">
        <v>17</v>
      </c>
      <c r="E123" s="194">
        <v>0.98399999999999999</v>
      </c>
      <c r="F123" s="194">
        <v>1</v>
      </c>
      <c r="G123" s="194">
        <v>23</v>
      </c>
      <c r="H123" s="194">
        <v>1</v>
      </c>
      <c r="I123" s="194">
        <v>1</v>
      </c>
      <c r="J123" s="194">
        <v>22</v>
      </c>
      <c r="K123" s="194">
        <v>0.98399999999999999</v>
      </c>
      <c r="L123" s="194">
        <v>1</v>
      </c>
      <c r="M123" s="194">
        <v>14</v>
      </c>
      <c r="N123" s="194">
        <v>0.98399999999999999</v>
      </c>
      <c r="O123" s="194">
        <v>0.96299999999999997</v>
      </c>
      <c r="P123" s="194">
        <v>27</v>
      </c>
      <c r="Q123" s="194">
        <v>0.98599999999999999</v>
      </c>
      <c r="R123" s="194">
        <v>1</v>
      </c>
      <c r="S123" s="194">
        <v>20</v>
      </c>
      <c r="T123" s="194">
        <v>0.98499999999999999</v>
      </c>
      <c r="U123" s="194">
        <v>1</v>
      </c>
      <c r="V123" s="194">
        <v>26</v>
      </c>
      <c r="W123" s="194">
        <v>0.96799999999999997</v>
      </c>
      <c r="X123" s="194">
        <v>0.95</v>
      </c>
      <c r="Y123" s="194">
        <v>20</v>
      </c>
      <c r="Z123" s="194">
        <v>0.95299999999999996</v>
      </c>
      <c r="AA123" s="194">
        <v>0.93799999999999994</v>
      </c>
      <c r="AB123" s="194">
        <v>16</v>
      </c>
      <c r="AC123" s="194">
        <v>0.94399999999999995</v>
      </c>
      <c r="AD123" s="194">
        <v>0.96399999999999997</v>
      </c>
      <c r="AE123" s="194">
        <v>28</v>
      </c>
      <c r="AF123" s="194">
        <v>0.94899999999999995</v>
      </c>
      <c r="AG123" s="194">
        <v>0.92600000000000005</v>
      </c>
      <c r="AH123" s="194">
        <v>27</v>
      </c>
      <c r="AI123" s="194">
        <v>0.94099999999999995</v>
      </c>
      <c r="AJ123" s="194">
        <v>0.95799999999999996</v>
      </c>
      <c r="AK123" s="194">
        <v>24</v>
      </c>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row>
    <row r="124" spans="1:61" x14ac:dyDescent="0.3">
      <c r="A124" s="193"/>
      <c r="B124" s="194"/>
      <c r="C124" s="194"/>
      <c r="D124" s="194"/>
      <c r="E124" s="194"/>
      <c r="F124" s="194"/>
      <c r="G124" s="194"/>
      <c r="H124" s="194"/>
      <c r="I124" s="194"/>
      <c r="J124" s="194"/>
      <c r="K124" s="194"/>
      <c r="L124" s="194"/>
      <c r="M124" s="194"/>
      <c r="N124" s="194"/>
      <c r="O124" s="194"/>
      <c r="P124" s="194"/>
      <c r="Q124" s="194"/>
      <c r="R124" s="194"/>
      <c r="S124" s="194"/>
      <c r="T124" s="194"/>
      <c r="U124" s="194"/>
      <c r="V124" s="194"/>
      <c r="W124" s="194"/>
      <c r="X124" s="194"/>
      <c r="Y124" s="194"/>
      <c r="Z124" s="194"/>
      <c r="AA124" s="194"/>
      <c r="AB124" s="194"/>
      <c r="AC124" s="194"/>
      <c r="AD124" s="194"/>
      <c r="AE124" s="194"/>
      <c r="AF124" s="194"/>
      <c r="AG124" s="194"/>
      <c r="AH124" s="194"/>
      <c r="AI124" s="194"/>
      <c r="AJ124" s="194"/>
      <c r="AK124" s="194"/>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8A63F-9304-46C1-A63C-46EF5F13B395}">
  <sheetPr>
    <pageSetUpPr autoPageBreaks="0"/>
  </sheetPr>
  <dimension ref="B8:H50"/>
  <sheetViews>
    <sheetView showGridLines="0" zoomScaleNormal="100" workbookViewId="0">
      <selection activeCell="A17" sqref="A17"/>
    </sheetView>
  </sheetViews>
  <sheetFormatPr defaultRowHeight="14.4" x14ac:dyDescent="0.3"/>
  <cols>
    <col min="3" max="3" width="108.88671875" style="5" customWidth="1"/>
  </cols>
  <sheetData>
    <row r="8" spans="3:8" ht="43.2" x14ac:dyDescent="0.3">
      <c r="C8" s="187" t="s">
        <v>878</v>
      </c>
    </row>
    <row r="9" spans="3:8" x14ac:dyDescent="0.3">
      <c r="C9"/>
    </row>
    <row r="10" spans="3:8" ht="43.2" x14ac:dyDescent="0.3">
      <c r="C10" s="187" t="s">
        <v>890</v>
      </c>
    </row>
    <row r="12" spans="3:8" ht="72" x14ac:dyDescent="0.3">
      <c r="C12" s="243" t="s">
        <v>928</v>
      </c>
    </row>
    <row r="13" spans="3:8" x14ac:dyDescent="0.3">
      <c r="C13" s="53"/>
    </row>
    <row r="14" spans="3:8" ht="115.2" x14ac:dyDescent="0.3">
      <c r="C14" s="5" t="s">
        <v>879</v>
      </c>
    </row>
    <row r="15" spans="3:8" x14ac:dyDescent="0.3">
      <c r="H15" s="186"/>
    </row>
    <row r="16" spans="3:8" ht="114.9" customHeight="1" x14ac:dyDescent="0.3">
      <c r="C16" s="254" t="s">
        <v>880</v>
      </c>
      <c r="H16" s="186"/>
    </row>
    <row r="17" spans="2:8" ht="114.9" customHeight="1" x14ac:dyDescent="0.3">
      <c r="C17" s="255"/>
      <c r="H17" s="186"/>
    </row>
    <row r="18" spans="2:8" ht="15" customHeight="1" x14ac:dyDescent="0.3">
      <c r="C18" s="197"/>
      <c r="H18" s="186"/>
    </row>
    <row r="19" spans="2:8" ht="120" customHeight="1" x14ac:dyDescent="0.3">
      <c r="C19" s="243" t="s">
        <v>933</v>
      </c>
      <c r="H19" s="186"/>
    </row>
    <row r="20" spans="2:8" ht="15" customHeight="1" x14ac:dyDescent="0.3">
      <c r="C20" s="197"/>
      <c r="H20" s="186"/>
    </row>
    <row r="21" spans="2:8" ht="80.099999999999994" customHeight="1" x14ac:dyDescent="0.3">
      <c r="C21" s="53" t="s">
        <v>784</v>
      </c>
      <c r="H21" s="186"/>
    </row>
    <row r="22" spans="2:8" ht="150" customHeight="1" x14ac:dyDescent="0.3">
      <c r="C22" s="53" t="s">
        <v>931</v>
      </c>
      <c r="H22" s="186"/>
    </row>
    <row r="23" spans="2:8" ht="15" customHeight="1" x14ac:dyDescent="0.3">
      <c r="C23" s="53"/>
      <c r="H23" s="186"/>
    </row>
    <row r="24" spans="2:8" ht="399.9" customHeight="1" x14ac:dyDescent="0.3">
      <c r="C24" s="53" t="s">
        <v>881</v>
      </c>
      <c r="H24" s="186"/>
    </row>
    <row r="25" spans="2:8" x14ac:dyDescent="0.3">
      <c r="C25"/>
    </row>
    <row r="26" spans="2:8" ht="60" customHeight="1" x14ac:dyDescent="0.3">
      <c r="C26" s="244" t="s">
        <v>929</v>
      </c>
    </row>
    <row r="28" spans="2:8" ht="28.8" x14ac:dyDescent="0.3">
      <c r="C28" s="5" t="s">
        <v>676</v>
      </c>
    </row>
    <row r="30" spans="2:8" x14ac:dyDescent="0.3">
      <c r="B30" s="1" t="s">
        <v>667</v>
      </c>
    </row>
    <row r="31" spans="2:8" x14ac:dyDescent="0.3">
      <c r="C31" s="185" t="s">
        <v>666</v>
      </c>
    </row>
    <row r="32" spans="2:8" x14ac:dyDescent="0.3">
      <c r="C32" s="185" t="str">
        <f>HYPERLINK("#Acknowledgements!A1","Acknowledgements")</f>
        <v>Acknowledgements</v>
      </c>
    </row>
    <row r="33" spans="2:3" x14ac:dyDescent="0.3">
      <c r="C33" s="185" t="s">
        <v>665</v>
      </c>
    </row>
    <row r="34" spans="2:3" x14ac:dyDescent="0.3">
      <c r="B34" s="184"/>
      <c r="C34" s="185" t="s">
        <v>809</v>
      </c>
    </row>
    <row r="35" spans="2:3" x14ac:dyDescent="0.3">
      <c r="C35" s="245" t="s">
        <v>930</v>
      </c>
    </row>
    <row r="38" spans="2:3" x14ac:dyDescent="0.3">
      <c r="C38"/>
    </row>
    <row r="39" spans="2:3" x14ac:dyDescent="0.3">
      <c r="C39"/>
    </row>
    <row r="40" spans="2:3" x14ac:dyDescent="0.3">
      <c r="B40" s="183"/>
      <c r="C40" s="183"/>
    </row>
    <row r="41" spans="2:3" x14ac:dyDescent="0.3">
      <c r="B41" s="183"/>
      <c r="C41" s="183"/>
    </row>
    <row r="42" spans="2:3" x14ac:dyDescent="0.3">
      <c r="C42"/>
    </row>
    <row r="43" spans="2:3" x14ac:dyDescent="0.3">
      <c r="C43"/>
    </row>
    <row r="44" spans="2:3" x14ac:dyDescent="0.3">
      <c r="C44"/>
    </row>
    <row r="45" spans="2:3" x14ac:dyDescent="0.3">
      <c r="C45"/>
    </row>
    <row r="50" spans="3:3" x14ac:dyDescent="0.3">
      <c r="C50" s="182"/>
    </row>
  </sheetData>
  <mergeCells count="1">
    <mergeCell ref="C16:C17"/>
  </mergeCells>
  <hyperlinks>
    <hyperlink ref="C10" r:id="rId1" display="[Audit name] is part of the National Cancer Audit Collaborating Centre (NATCAN), a national centre of excellence launched on 1st October 2022 to strengthen NHS cancer services by looking at treatments and patient outcomes in multiple cancer types across the country." xr:uid="{BF9AAF9B-DD96-4241-8FD3-51E1EB791C57}"/>
    <hyperlink ref="C31" location="Explanations!A1" display="Explanations" xr:uid="{73522B8C-ED51-48D5-BA3F-9FBF41D0D9B5}"/>
    <hyperlink ref="C33" location="Dashboard!A1" display="Dashboard!A1" xr:uid="{9CACEF08-EA8B-46AC-B17C-EA205F923D65}"/>
    <hyperlink ref="C34" location="'Cancer Alliance Results'!A1" display="Cancer Alliance Results" xr:uid="{F15E741B-8E16-4C0F-BB7A-1F5994BB1BF9}"/>
    <hyperlink ref="C8" r:id="rId2" display="The purpose of the National Kidney Cancer Audit (NKCA) is to evaluate the patterns of care and outcomes for people with kidney cancer in England and Wales, and to support services to improve the quality of care for these individuals. More details of the audit aims and scope can be found on our webpage." xr:uid="{DC940731-C600-4522-9857-7461C6E87186}"/>
    <hyperlink ref="C16:C17" r:id="rId3" display="For this quarterly report, the NKCA utilised data from the Rapid Cancer Registration Dataset (RCRD) and COSD. While RCRD is compiled mainly from COSD records, the speed of production means that the range of data items is limited and several standard data items in the complete National Cancer Registration Dataset (NCRD) are unavailable. We therefore also report data completeness for a few select items from the COSD that are not reported in the RCRD, but that will be required to develop and report key performance indicators. It is also worth noting that RCRD does not have complete coverage of all patients diagnosed with kidney cancer in England during the reporting period. To access more information about the RCRD click here. RCRD was received by NATCAN in February 2024 and contained patient data submitted to NDRS by English NHS trusts for people diagnosed between 1st January 2018 and 31st October 2023. We have included the three most recent years of data in this quarterly report except we have not included October 2023 so that we could align with the year's natural quarters (Q1 = Jan-Mar; Q2 = Apr-Jun; Q3 = Jul-Sep; Q4 = Oct-Dec)." xr:uid="{665D300B-4BAB-4755-8B32-0D83D54BDDA1}"/>
    <hyperlink ref="C35" location="'Patient Characteristics'!A1" display="Patient Characteristics" xr:uid="{B102E881-86D8-4879-8877-6229FE44B92E}"/>
  </hyperlinks>
  <pageMargins left="0.7" right="0.7" top="0.75" bottom="0.75" header="0.3" footer="0.3"/>
  <pageSetup paperSize="9" orientation="portrait" r:id="rId4"/>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64CF8-3341-4F13-9182-2A130A5A2952}">
  <sheetPr>
    <tabColor theme="9" tint="0.79998168889431442"/>
  </sheetPr>
  <dimension ref="A1:BI124"/>
  <sheetViews>
    <sheetView zoomScaleNormal="100" workbookViewId="0">
      <pane xSplit="1" ySplit="1" topLeftCell="L88" activePane="bottomRight" state="frozen"/>
      <selection pane="topRight" activeCell="B1" sqref="B1"/>
      <selection pane="bottomLeft" activeCell="A2" sqref="A2"/>
      <selection pane="bottomRight" sqref="A1:AK123"/>
    </sheetView>
  </sheetViews>
  <sheetFormatPr defaultRowHeight="14.4" x14ac:dyDescent="0.3"/>
  <cols>
    <col min="2" max="3" width="8.6640625" style="120"/>
    <col min="4" max="4" width="9.33203125" style="120" bestFit="1" customWidth="1"/>
    <col min="5" max="5" width="8.6640625" style="120"/>
    <col min="10" max="10" width="10.5546875" customWidth="1"/>
    <col min="13" max="13" width="11" customWidth="1"/>
    <col min="16" max="16" width="10.44140625" customWidth="1"/>
    <col min="19" max="19" width="11.5546875" customWidth="1"/>
    <col min="22" max="22" width="10.6640625" customWidth="1"/>
    <col min="25" max="25" width="11.6640625" customWidth="1"/>
    <col min="28" max="28" width="11.109375" customWidth="1"/>
    <col min="31" max="31" width="11.109375" customWidth="1"/>
    <col min="34" max="34" width="11.5546875" customWidth="1"/>
    <col min="37" max="37" width="11" customWidth="1"/>
  </cols>
  <sheetData>
    <row r="1" spans="1:61" x14ac:dyDescent="0.3">
      <c r="A1" s="193" t="s">
        <v>259</v>
      </c>
      <c r="B1" s="193" t="s">
        <v>138</v>
      </c>
      <c r="C1" s="193" t="s">
        <v>125</v>
      </c>
      <c r="D1" s="193" t="s">
        <v>112</v>
      </c>
      <c r="E1" s="193" t="s">
        <v>139</v>
      </c>
      <c r="F1" s="193" t="s">
        <v>126</v>
      </c>
      <c r="G1" s="193" t="s">
        <v>113</v>
      </c>
      <c r="H1" s="193" t="s">
        <v>140</v>
      </c>
      <c r="I1" s="193" t="s">
        <v>127</v>
      </c>
      <c r="J1" s="193" t="s">
        <v>114</v>
      </c>
      <c r="K1" s="193" t="s">
        <v>141</v>
      </c>
      <c r="L1" s="193" t="s">
        <v>128</v>
      </c>
      <c r="M1" s="193" t="s">
        <v>115</v>
      </c>
      <c r="N1" s="193" t="s">
        <v>142</v>
      </c>
      <c r="O1" s="193" t="s">
        <v>129</v>
      </c>
      <c r="P1" s="193" t="s">
        <v>116</v>
      </c>
      <c r="Q1" s="193" t="s">
        <v>143</v>
      </c>
      <c r="R1" s="193" t="s">
        <v>130</v>
      </c>
      <c r="S1" s="193" t="s">
        <v>117</v>
      </c>
      <c r="T1" s="193" t="s">
        <v>144</v>
      </c>
      <c r="U1" s="193" t="s">
        <v>131</v>
      </c>
      <c r="V1" s="193" t="s">
        <v>118</v>
      </c>
      <c r="W1" s="193" t="s">
        <v>145</v>
      </c>
      <c r="X1" s="193" t="s">
        <v>132</v>
      </c>
      <c r="Y1" s="193" t="s">
        <v>119</v>
      </c>
      <c r="Z1" s="193" t="s">
        <v>146</v>
      </c>
      <c r="AA1" s="193" t="s">
        <v>133</v>
      </c>
      <c r="AB1" s="193" t="s">
        <v>120</v>
      </c>
      <c r="AC1" s="193" t="s">
        <v>147</v>
      </c>
      <c r="AD1" s="193" t="s">
        <v>134</v>
      </c>
      <c r="AE1" s="193" t="s">
        <v>121</v>
      </c>
      <c r="AF1" s="193" t="s">
        <v>148</v>
      </c>
      <c r="AG1" s="193" t="s">
        <v>135</v>
      </c>
      <c r="AH1" s="193" t="s">
        <v>122</v>
      </c>
      <c r="AI1" s="193" t="s">
        <v>149</v>
      </c>
      <c r="AJ1" s="193" t="s">
        <v>136</v>
      </c>
      <c r="AK1" s="193" t="s">
        <v>123</v>
      </c>
      <c r="AL1" s="55"/>
      <c r="AM1" s="55"/>
      <c r="AN1" s="55"/>
      <c r="AO1" s="55"/>
      <c r="AP1" s="55"/>
      <c r="AQ1" s="55"/>
      <c r="AR1" s="55"/>
      <c r="AS1" s="55"/>
      <c r="AT1" s="55"/>
      <c r="AU1" s="55"/>
      <c r="AV1" s="55"/>
      <c r="AW1" s="55"/>
      <c r="AX1" s="55"/>
      <c r="AY1" s="55"/>
      <c r="AZ1" s="55"/>
      <c r="BA1" s="55"/>
      <c r="BB1" s="55"/>
      <c r="BC1" s="55"/>
      <c r="BD1" s="55"/>
      <c r="BE1" s="55"/>
      <c r="BF1" s="55"/>
      <c r="BG1" s="55"/>
      <c r="BH1" s="55"/>
      <c r="BI1" s="55"/>
    </row>
    <row r="2" spans="1:61" x14ac:dyDescent="0.3">
      <c r="A2" s="193" t="s">
        <v>685</v>
      </c>
      <c r="B2" s="194">
        <v>0.53900000000000003</v>
      </c>
      <c r="C2" s="194">
        <v>0.53600000000000003</v>
      </c>
      <c r="D2" s="194">
        <v>2237</v>
      </c>
      <c r="E2" s="194">
        <v>0.52900000000000003</v>
      </c>
      <c r="F2" s="194">
        <v>0.54300000000000004</v>
      </c>
      <c r="G2" s="194">
        <v>2199</v>
      </c>
      <c r="H2" s="194">
        <v>0.53200000000000003</v>
      </c>
      <c r="I2" s="194">
        <v>0.50900000000000001</v>
      </c>
      <c r="J2" s="194">
        <v>2269</v>
      </c>
      <c r="K2" s="194">
        <v>0.53300000000000003</v>
      </c>
      <c r="L2" s="194">
        <v>0.54700000000000004</v>
      </c>
      <c r="M2" s="194">
        <v>2122</v>
      </c>
      <c r="N2" s="194">
        <v>0.55300000000000005</v>
      </c>
      <c r="O2" s="194">
        <v>0.54600000000000004</v>
      </c>
      <c r="P2" s="194">
        <v>2097</v>
      </c>
      <c r="Q2" s="194">
        <v>0.55400000000000005</v>
      </c>
      <c r="R2" s="194">
        <v>0.56399999999999995</v>
      </c>
      <c r="S2" s="194">
        <v>2239</v>
      </c>
      <c r="T2" s="194">
        <v>0.57799999999999996</v>
      </c>
      <c r="U2" s="194">
        <v>0.55100000000000005</v>
      </c>
      <c r="V2" s="194">
        <v>2172</v>
      </c>
      <c r="W2" s="194">
        <v>0.59599999999999997</v>
      </c>
      <c r="X2" s="194">
        <v>0.61799999999999999</v>
      </c>
      <c r="Y2" s="194">
        <v>2322</v>
      </c>
      <c r="Z2" s="194">
        <v>0.61499999999999999</v>
      </c>
      <c r="AA2" s="194">
        <v>0.61599999999999999</v>
      </c>
      <c r="AB2" s="194">
        <v>2371</v>
      </c>
      <c r="AC2" s="194">
        <v>0.60899999999999999</v>
      </c>
      <c r="AD2" s="194">
        <v>0.61199999999999999</v>
      </c>
      <c r="AE2" s="194">
        <v>2458</v>
      </c>
      <c r="AF2" s="194">
        <v>0.61599999999999999</v>
      </c>
      <c r="AG2" s="194">
        <v>0.6</v>
      </c>
      <c r="AH2" s="194">
        <v>2720</v>
      </c>
      <c r="AI2" s="194">
        <v>0.61699999999999999</v>
      </c>
      <c r="AJ2" s="194">
        <v>0.63500000000000001</v>
      </c>
      <c r="AK2" s="194">
        <v>2702</v>
      </c>
      <c r="AL2" s="55"/>
      <c r="AM2" s="55"/>
      <c r="AN2" s="55"/>
      <c r="AO2" s="55"/>
      <c r="AP2" s="55"/>
      <c r="AQ2" s="55"/>
      <c r="AR2" s="55"/>
      <c r="AS2" s="55"/>
      <c r="AT2" s="55"/>
      <c r="AU2" s="55"/>
      <c r="AV2" s="55"/>
      <c r="AW2" s="55"/>
      <c r="AX2" s="55"/>
      <c r="AY2" s="55"/>
      <c r="AZ2" s="55"/>
      <c r="BA2" s="55"/>
      <c r="BB2" s="55"/>
      <c r="BC2" s="55"/>
      <c r="BD2" s="55"/>
      <c r="BE2" s="55"/>
      <c r="BF2" s="55"/>
      <c r="BG2" s="55"/>
      <c r="BH2" s="55"/>
      <c r="BI2" s="55"/>
    </row>
    <row r="3" spans="1:61" x14ac:dyDescent="0.3">
      <c r="A3" s="193" t="s">
        <v>402</v>
      </c>
      <c r="B3" s="194">
        <v>0.40400000000000003</v>
      </c>
      <c r="C3" s="194">
        <v>0.38300000000000001</v>
      </c>
      <c r="D3" s="194">
        <v>47</v>
      </c>
      <c r="E3" s="194">
        <v>0.39100000000000001</v>
      </c>
      <c r="F3" s="194">
        <v>0.42899999999999999</v>
      </c>
      <c r="G3" s="194">
        <v>42</v>
      </c>
      <c r="H3" s="194">
        <v>0.39300000000000002</v>
      </c>
      <c r="I3" s="194">
        <v>0.35899999999999999</v>
      </c>
      <c r="J3" s="194">
        <v>39</v>
      </c>
      <c r="K3" s="194">
        <v>0.40500000000000003</v>
      </c>
      <c r="L3" s="194">
        <v>0.38700000000000001</v>
      </c>
      <c r="M3" s="194">
        <v>31</v>
      </c>
      <c r="N3" s="194">
        <v>0.47099999999999997</v>
      </c>
      <c r="O3" s="194">
        <v>0.44600000000000001</v>
      </c>
      <c r="P3" s="194">
        <v>56</v>
      </c>
      <c r="Q3" s="194">
        <v>0.48499999999999999</v>
      </c>
      <c r="R3" s="194">
        <v>0.58799999999999997</v>
      </c>
      <c r="S3" s="194">
        <v>34</v>
      </c>
      <c r="T3" s="194">
        <v>0.54200000000000004</v>
      </c>
      <c r="U3" s="194">
        <v>0.38500000000000001</v>
      </c>
      <c r="V3" s="194">
        <v>13</v>
      </c>
      <c r="W3" s="194">
        <v>0.46600000000000003</v>
      </c>
      <c r="X3" s="194">
        <v>0.56000000000000005</v>
      </c>
      <c r="Y3" s="194">
        <v>25</v>
      </c>
      <c r="Z3" s="194">
        <v>0.53100000000000003</v>
      </c>
      <c r="AA3" s="194">
        <v>0.4</v>
      </c>
      <c r="AB3" s="194">
        <v>20</v>
      </c>
      <c r="AC3" s="194">
        <v>0.46400000000000002</v>
      </c>
      <c r="AD3" s="194">
        <v>0.63200000000000001</v>
      </c>
      <c r="AE3" s="194">
        <v>19</v>
      </c>
      <c r="AF3" s="194">
        <v>0.435</v>
      </c>
      <c r="AG3" s="194">
        <v>0.35299999999999998</v>
      </c>
      <c r="AH3" s="194">
        <v>17</v>
      </c>
      <c r="AI3" s="194">
        <v>0.36</v>
      </c>
      <c r="AJ3" s="194">
        <v>0.36399999999999999</v>
      </c>
      <c r="AK3" s="194">
        <v>33</v>
      </c>
      <c r="AL3" s="55"/>
      <c r="AM3" s="55"/>
      <c r="AN3" s="55"/>
      <c r="AO3" s="55"/>
      <c r="AP3" s="55"/>
      <c r="AQ3" s="55"/>
      <c r="AR3" s="55"/>
      <c r="AS3" s="55"/>
      <c r="AT3" s="55"/>
      <c r="AU3" s="55"/>
      <c r="AV3" s="55"/>
      <c r="AW3" s="55"/>
      <c r="AX3" s="55"/>
      <c r="AY3" s="55"/>
      <c r="AZ3" s="55"/>
      <c r="BA3" s="55"/>
      <c r="BB3" s="55"/>
      <c r="BC3" s="55"/>
      <c r="BD3" s="55"/>
      <c r="BE3" s="55"/>
      <c r="BF3" s="55"/>
      <c r="BG3" s="55"/>
      <c r="BH3" s="55"/>
      <c r="BI3" s="55"/>
    </row>
    <row r="4" spans="1:61" x14ac:dyDescent="0.3">
      <c r="A4" s="193" t="s">
        <v>472</v>
      </c>
      <c r="B4" s="194">
        <v>0.33</v>
      </c>
      <c r="C4" s="194">
        <v>0.17</v>
      </c>
      <c r="D4" s="194">
        <v>47</v>
      </c>
      <c r="E4" s="194">
        <v>0.433</v>
      </c>
      <c r="F4" s="194">
        <v>0.51200000000000001</v>
      </c>
      <c r="G4" s="194">
        <v>41</v>
      </c>
      <c r="H4" s="194">
        <v>0.628</v>
      </c>
      <c r="I4" s="194">
        <v>0.66700000000000004</v>
      </c>
      <c r="J4" s="194">
        <v>39</v>
      </c>
      <c r="K4" s="194">
        <v>0.68200000000000005</v>
      </c>
      <c r="L4" s="194">
        <v>0.72699999999999998</v>
      </c>
      <c r="M4" s="194">
        <v>33</v>
      </c>
      <c r="N4" s="194">
        <v>0.76900000000000002</v>
      </c>
      <c r="O4" s="194">
        <v>0.65700000000000003</v>
      </c>
      <c r="P4" s="194">
        <v>35</v>
      </c>
      <c r="Q4" s="194">
        <v>0.80400000000000005</v>
      </c>
      <c r="R4" s="194">
        <v>0.91700000000000004</v>
      </c>
      <c r="S4" s="194">
        <v>36</v>
      </c>
      <c r="T4" s="194">
        <v>0.92400000000000004</v>
      </c>
      <c r="U4" s="194">
        <v>0.83299999999999996</v>
      </c>
      <c r="V4" s="194">
        <v>36</v>
      </c>
      <c r="W4" s="194">
        <v>0.94699999999999995</v>
      </c>
      <c r="X4" s="194">
        <v>1</v>
      </c>
      <c r="Y4" s="194">
        <v>46</v>
      </c>
      <c r="Z4" s="194">
        <v>0.99199999999999999</v>
      </c>
      <c r="AA4" s="194">
        <v>1</v>
      </c>
      <c r="AB4" s="194">
        <v>32</v>
      </c>
      <c r="AC4" s="194">
        <v>0.99299999999999999</v>
      </c>
      <c r="AD4" s="194">
        <v>0.98</v>
      </c>
      <c r="AE4" s="194">
        <v>49</v>
      </c>
      <c r="AF4" s="194">
        <v>0.98799999999999999</v>
      </c>
      <c r="AG4" s="194">
        <v>1</v>
      </c>
      <c r="AH4" s="194">
        <v>64</v>
      </c>
      <c r="AI4" s="194">
        <v>0.99099999999999999</v>
      </c>
      <c r="AJ4" s="194">
        <v>0.98</v>
      </c>
      <c r="AK4" s="194">
        <v>51</v>
      </c>
      <c r="AL4" s="55"/>
      <c r="AM4" s="55"/>
      <c r="AN4" s="55"/>
      <c r="AO4" s="55"/>
      <c r="AP4" s="55"/>
      <c r="AQ4" s="55"/>
      <c r="AR4" s="55"/>
      <c r="AS4" s="55"/>
      <c r="AT4" s="55"/>
      <c r="AU4" s="55"/>
      <c r="AV4" s="55"/>
      <c r="AW4" s="55"/>
      <c r="AX4" s="55"/>
      <c r="AY4" s="55"/>
      <c r="AZ4" s="55"/>
      <c r="BA4" s="55"/>
      <c r="BB4" s="55"/>
      <c r="BC4" s="55"/>
      <c r="BD4" s="55"/>
      <c r="BE4" s="55"/>
      <c r="BF4" s="55"/>
      <c r="BG4" s="55"/>
      <c r="BH4" s="55"/>
      <c r="BI4" s="55"/>
    </row>
    <row r="5" spans="1:61" x14ac:dyDescent="0.3">
      <c r="A5" s="193" t="s">
        <v>524</v>
      </c>
      <c r="B5" s="194">
        <v>0.627</v>
      </c>
      <c r="C5" s="194">
        <v>0.70599999999999996</v>
      </c>
      <c r="D5" s="194">
        <v>34</v>
      </c>
      <c r="E5" s="194">
        <v>0.64600000000000002</v>
      </c>
      <c r="F5" s="194">
        <v>0.52</v>
      </c>
      <c r="G5" s="194">
        <v>25</v>
      </c>
      <c r="H5" s="194">
        <v>0.71799999999999997</v>
      </c>
      <c r="I5" s="194">
        <v>0.69599999999999995</v>
      </c>
      <c r="J5" s="194">
        <v>23</v>
      </c>
      <c r="K5" s="194">
        <v>0.81299999999999994</v>
      </c>
      <c r="L5" s="194">
        <v>0.9</v>
      </c>
      <c r="M5" s="194">
        <v>30</v>
      </c>
      <c r="N5" s="194">
        <v>0.81899999999999995</v>
      </c>
      <c r="O5" s="194">
        <v>0.81799999999999995</v>
      </c>
      <c r="P5" s="194">
        <v>22</v>
      </c>
      <c r="Q5" s="194">
        <v>0.77900000000000003</v>
      </c>
      <c r="R5" s="194">
        <v>0.7</v>
      </c>
      <c r="S5" s="194">
        <v>20</v>
      </c>
      <c r="T5" s="194">
        <v>0.76</v>
      </c>
      <c r="U5" s="194">
        <v>0.80800000000000005</v>
      </c>
      <c r="V5" s="194">
        <v>26</v>
      </c>
      <c r="W5" s="194">
        <v>0.72499999999999998</v>
      </c>
      <c r="X5" s="194">
        <v>0.75900000000000001</v>
      </c>
      <c r="Y5" s="194">
        <v>29</v>
      </c>
      <c r="Z5" s="194">
        <v>0.627</v>
      </c>
      <c r="AA5" s="194">
        <v>0.6</v>
      </c>
      <c r="AB5" s="194">
        <v>25</v>
      </c>
      <c r="AC5" s="194">
        <v>0.49399999999999999</v>
      </c>
      <c r="AD5" s="194">
        <v>0.51700000000000002</v>
      </c>
      <c r="AE5" s="194">
        <v>29</v>
      </c>
      <c r="AF5" s="194">
        <v>0.50600000000000001</v>
      </c>
      <c r="AG5" s="194">
        <v>0.37</v>
      </c>
      <c r="AH5" s="194">
        <v>27</v>
      </c>
      <c r="AI5" s="194">
        <v>0.5</v>
      </c>
      <c r="AJ5" s="194">
        <v>0.60599999999999998</v>
      </c>
      <c r="AK5" s="194">
        <v>33</v>
      </c>
      <c r="AL5" s="55"/>
      <c r="AM5" s="55"/>
      <c r="AN5" s="55"/>
      <c r="AO5" s="55"/>
      <c r="AP5" s="55"/>
      <c r="AQ5" s="55"/>
      <c r="AR5" s="55"/>
      <c r="AS5" s="55"/>
      <c r="AT5" s="55"/>
      <c r="AU5" s="55"/>
      <c r="AV5" s="55"/>
      <c r="AW5" s="55"/>
      <c r="AX5" s="55"/>
      <c r="AY5" s="55"/>
      <c r="AZ5" s="55"/>
      <c r="BA5" s="55"/>
      <c r="BB5" s="55"/>
      <c r="BC5" s="55"/>
      <c r="BD5" s="55"/>
      <c r="BE5" s="55"/>
      <c r="BF5" s="55"/>
      <c r="BG5" s="55"/>
      <c r="BH5" s="55"/>
      <c r="BI5" s="55"/>
    </row>
    <row r="6" spans="1:61" x14ac:dyDescent="0.3">
      <c r="A6" s="193" t="s">
        <v>378</v>
      </c>
      <c r="B6" s="194">
        <v>0.82399999999999995</v>
      </c>
      <c r="C6" s="194">
        <v>0.8</v>
      </c>
      <c r="D6" s="194">
        <v>5</v>
      </c>
      <c r="E6" s="194">
        <v>0.76900000000000002</v>
      </c>
      <c r="F6" s="194">
        <v>0.83299999999999996</v>
      </c>
      <c r="G6" s="194">
        <v>12</v>
      </c>
      <c r="H6" s="194">
        <v>0.81499999999999995</v>
      </c>
      <c r="I6" s="194">
        <v>0.66700000000000004</v>
      </c>
      <c r="J6" s="194">
        <v>9</v>
      </c>
      <c r="K6" s="194">
        <v>0.85</v>
      </c>
      <c r="L6" s="194">
        <v>1</v>
      </c>
      <c r="M6" s="194">
        <v>6</v>
      </c>
      <c r="N6" s="194">
        <v>1</v>
      </c>
      <c r="O6" s="194">
        <v>1</v>
      </c>
      <c r="P6" s="194">
        <v>5</v>
      </c>
      <c r="Q6" s="194">
        <v>0.94099999999999995</v>
      </c>
      <c r="R6" s="194">
        <v>1</v>
      </c>
      <c r="S6" s="194">
        <v>3</v>
      </c>
      <c r="T6" s="194">
        <v>0.95199999999999996</v>
      </c>
      <c r="U6" s="194">
        <v>0.88900000000000001</v>
      </c>
      <c r="V6" s="194">
        <v>9</v>
      </c>
      <c r="W6" s="194">
        <v>0.95499999999999996</v>
      </c>
      <c r="X6" s="194">
        <v>1</v>
      </c>
      <c r="Y6" s="194">
        <v>9</v>
      </c>
      <c r="Z6" s="194">
        <v>1</v>
      </c>
      <c r="AA6" s="194">
        <v>1</v>
      </c>
      <c r="AB6" s="194">
        <v>4</v>
      </c>
      <c r="AC6" s="194">
        <v>0.81299999999999994</v>
      </c>
      <c r="AD6" s="194">
        <v>1</v>
      </c>
      <c r="AE6" s="194">
        <v>6</v>
      </c>
      <c r="AF6" s="194">
        <v>0.77400000000000002</v>
      </c>
      <c r="AG6" s="194">
        <v>0.5</v>
      </c>
      <c r="AH6" s="194">
        <v>6</v>
      </c>
      <c r="AI6" s="194">
        <v>0.72</v>
      </c>
      <c r="AJ6" s="194">
        <v>0.78900000000000003</v>
      </c>
      <c r="AK6" s="194">
        <v>19</v>
      </c>
      <c r="AL6" s="55"/>
      <c r="AM6" s="55"/>
      <c r="AN6" s="55"/>
      <c r="AO6" s="55"/>
      <c r="AP6" s="55"/>
      <c r="AQ6" s="55"/>
      <c r="AR6" s="55"/>
      <c r="AS6" s="55"/>
      <c r="AT6" s="55"/>
      <c r="AU6" s="55"/>
      <c r="AV6" s="55"/>
      <c r="AW6" s="55"/>
      <c r="AX6" s="55"/>
      <c r="AY6" s="55"/>
      <c r="AZ6" s="55"/>
      <c r="BA6" s="55"/>
      <c r="BB6" s="55"/>
      <c r="BC6" s="55"/>
      <c r="BD6" s="55"/>
      <c r="BE6" s="55"/>
      <c r="BF6" s="55"/>
      <c r="BG6" s="55"/>
      <c r="BH6" s="55"/>
      <c r="BI6" s="55"/>
    </row>
    <row r="7" spans="1:61" x14ac:dyDescent="0.3">
      <c r="A7" s="193" t="s">
        <v>281</v>
      </c>
      <c r="B7" s="194">
        <v>0</v>
      </c>
      <c r="C7" s="194">
        <v>0</v>
      </c>
      <c r="D7" s="194">
        <v>11</v>
      </c>
      <c r="E7" s="194">
        <v>0</v>
      </c>
      <c r="F7" s="194">
        <v>0</v>
      </c>
      <c r="G7" s="194">
        <v>10</v>
      </c>
      <c r="H7" s="194">
        <v>0</v>
      </c>
      <c r="I7" s="194">
        <v>0</v>
      </c>
      <c r="J7" s="194">
        <v>25</v>
      </c>
      <c r="K7" s="194">
        <v>0</v>
      </c>
      <c r="L7" s="194">
        <v>0</v>
      </c>
      <c r="M7" s="194">
        <v>23</v>
      </c>
      <c r="N7" s="194">
        <v>0</v>
      </c>
      <c r="O7" s="194">
        <v>0</v>
      </c>
      <c r="P7" s="194">
        <v>6</v>
      </c>
      <c r="Q7" s="194">
        <v>2.9000000000000001E-2</v>
      </c>
      <c r="R7" s="194">
        <v>0</v>
      </c>
      <c r="S7" s="194">
        <v>9</v>
      </c>
      <c r="T7" s="194">
        <v>1.9E-2</v>
      </c>
      <c r="U7" s="194">
        <v>0.05</v>
      </c>
      <c r="V7" s="194">
        <v>20</v>
      </c>
      <c r="W7" s="194">
        <v>1.7999999999999999E-2</v>
      </c>
      <c r="X7" s="194">
        <v>0</v>
      </c>
      <c r="Y7" s="194">
        <v>24</v>
      </c>
      <c r="Z7" s="194">
        <v>0</v>
      </c>
      <c r="AA7" s="194">
        <v>0</v>
      </c>
      <c r="AB7" s="194">
        <v>13</v>
      </c>
      <c r="AC7" s="194">
        <v>0</v>
      </c>
      <c r="AD7" s="194">
        <v>0</v>
      </c>
      <c r="AE7" s="194">
        <v>22</v>
      </c>
      <c r="AF7" s="194">
        <v>0</v>
      </c>
      <c r="AG7" s="194">
        <v>0</v>
      </c>
      <c r="AH7" s="194">
        <v>12</v>
      </c>
      <c r="AI7" s="194">
        <v>0</v>
      </c>
      <c r="AJ7" s="194">
        <v>0</v>
      </c>
      <c r="AK7" s="194">
        <v>13</v>
      </c>
      <c r="AL7" s="55"/>
      <c r="AM7" s="55"/>
      <c r="AN7" s="55"/>
      <c r="AO7" s="55"/>
      <c r="AP7" s="55"/>
      <c r="AQ7" s="55"/>
      <c r="AR7" s="55"/>
      <c r="AS7" s="55"/>
      <c r="AT7" s="55"/>
      <c r="AU7" s="55"/>
      <c r="AV7" s="55"/>
      <c r="AW7" s="55"/>
      <c r="AX7" s="55"/>
      <c r="AY7" s="55"/>
      <c r="AZ7" s="55"/>
      <c r="BA7" s="55"/>
      <c r="BB7" s="55"/>
      <c r="BC7" s="55"/>
      <c r="BD7" s="55"/>
      <c r="BE7" s="55"/>
      <c r="BF7" s="55"/>
      <c r="BG7" s="55"/>
      <c r="BH7" s="55"/>
      <c r="BI7" s="55"/>
    </row>
    <row r="8" spans="1:61" x14ac:dyDescent="0.3">
      <c r="A8" s="193" t="s">
        <v>398</v>
      </c>
      <c r="B8" s="194">
        <v>0.77400000000000002</v>
      </c>
      <c r="C8" s="194">
        <v>0.72199999999999998</v>
      </c>
      <c r="D8" s="194">
        <v>18</v>
      </c>
      <c r="E8" s="194">
        <v>0.71399999999999997</v>
      </c>
      <c r="F8" s="194">
        <v>0.84599999999999997</v>
      </c>
      <c r="G8" s="194">
        <v>13</v>
      </c>
      <c r="H8" s="194">
        <v>0.71099999999999997</v>
      </c>
      <c r="I8" s="194">
        <v>0.61099999999999999</v>
      </c>
      <c r="J8" s="194">
        <v>18</v>
      </c>
      <c r="K8" s="194">
        <v>0.71399999999999997</v>
      </c>
      <c r="L8" s="194">
        <v>0.71399999999999997</v>
      </c>
      <c r="M8" s="194">
        <v>7</v>
      </c>
      <c r="N8" s="194">
        <v>0.69199999999999995</v>
      </c>
      <c r="O8" s="194">
        <v>0.9</v>
      </c>
      <c r="P8" s="194">
        <v>10</v>
      </c>
      <c r="Q8" s="194">
        <v>0.61799999999999999</v>
      </c>
      <c r="R8" s="194">
        <v>0.44400000000000001</v>
      </c>
      <c r="S8" s="194">
        <v>9</v>
      </c>
      <c r="T8" s="194">
        <v>0.63900000000000001</v>
      </c>
      <c r="U8" s="194">
        <v>0.53300000000000003</v>
      </c>
      <c r="V8" s="194">
        <v>15</v>
      </c>
      <c r="W8" s="194">
        <v>0.76300000000000001</v>
      </c>
      <c r="X8" s="194">
        <v>0.91700000000000004</v>
      </c>
      <c r="Y8" s="194">
        <v>12</v>
      </c>
      <c r="Z8" s="194">
        <v>0.86699999999999999</v>
      </c>
      <c r="AA8" s="194">
        <v>0.90900000000000003</v>
      </c>
      <c r="AB8" s="194">
        <v>11</v>
      </c>
      <c r="AC8" s="194">
        <v>0.86799999999999999</v>
      </c>
      <c r="AD8" s="194">
        <v>0.81799999999999995</v>
      </c>
      <c r="AE8" s="194">
        <v>22</v>
      </c>
      <c r="AF8" s="194">
        <v>0.88600000000000001</v>
      </c>
      <c r="AG8" s="194">
        <v>0.9</v>
      </c>
      <c r="AH8" s="194">
        <v>20</v>
      </c>
      <c r="AI8" s="194">
        <v>0.91700000000000004</v>
      </c>
      <c r="AJ8" s="194">
        <v>0.92900000000000005</v>
      </c>
      <c r="AK8" s="194">
        <v>28</v>
      </c>
      <c r="AL8" s="55"/>
      <c r="AM8" s="55"/>
      <c r="AN8" s="55"/>
      <c r="AO8" s="55"/>
      <c r="AP8" s="55"/>
      <c r="AQ8" s="55"/>
      <c r="AR8" s="55"/>
      <c r="AS8" s="55"/>
      <c r="AT8" s="55"/>
      <c r="AU8" s="55"/>
      <c r="AV8" s="55"/>
      <c r="AW8" s="55"/>
      <c r="AX8" s="55"/>
      <c r="AY8" s="55"/>
      <c r="AZ8" s="55"/>
      <c r="BA8" s="55"/>
      <c r="BB8" s="55"/>
      <c r="BC8" s="55"/>
      <c r="BD8" s="55"/>
      <c r="BE8" s="55"/>
      <c r="BF8" s="55"/>
      <c r="BG8" s="55"/>
      <c r="BH8" s="55"/>
      <c r="BI8" s="55"/>
    </row>
    <row r="9" spans="1:61" x14ac:dyDescent="0.3">
      <c r="A9" s="193" t="s">
        <v>452</v>
      </c>
      <c r="B9" s="194">
        <v>0.5</v>
      </c>
      <c r="C9" s="194">
        <v>0.58799999999999997</v>
      </c>
      <c r="D9" s="194">
        <v>17</v>
      </c>
      <c r="E9" s="194">
        <v>0.38100000000000001</v>
      </c>
      <c r="F9" s="194">
        <v>0.38500000000000001</v>
      </c>
      <c r="G9" s="194">
        <v>13</v>
      </c>
      <c r="H9" s="194">
        <v>0.23799999999999999</v>
      </c>
      <c r="I9" s="194">
        <v>8.3000000000000004E-2</v>
      </c>
      <c r="J9" s="194">
        <v>12</v>
      </c>
      <c r="K9" s="194">
        <v>0.25600000000000001</v>
      </c>
      <c r="L9" s="194">
        <v>0.23499999999999999</v>
      </c>
      <c r="M9" s="194">
        <v>17</v>
      </c>
      <c r="N9" s="194">
        <v>0.55100000000000005</v>
      </c>
      <c r="O9" s="194">
        <v>0.5</v>
      </c>
      <c r="P9" s="194">
        <v>10</v>
      </c>
      <c r="Q9" s="194">
        <v>0.72899999999999998</v>
      </c>
      <c r="R9" s="194">
        <v>0.81799999999999995</v>
      </c>
      <c r="S9" s="194">
        <v>22</v>
      </c>
      <c r="T9" s="194">
        <v>0.82399999999999995</v>
      </c>
      <c r="U9" s="194">
        <v>0.75</v>
      </c>
      <c r="V9" s="194">
        <v>16</v>
      </c>
      <c r="W9" s="194">
        <v>0.84399999999999997</v>
      </c>
      <c r="X9" s="194">
        <v>0.92300000000000004</v>
      </c>
      <c r="Y9" s="194">
        <v>13</v>
      </c>
      <c r="Z9" s="194">
        <v>0.88400000000000001</v>
      </c>
      <c r="AA9" s="194">
        <v>0.875</v>
      </c>
      <c r="AB9" s="194">
        <v>16</v>
      </c>
      <c r="AC9" s="194">
        <v>0.85699999999999998</v>
      </c>
      <c r="AD9" s="194">
        <v>0.85699999999999998</v>
      </c>
      <c r="AE9" s="194">
        <v>14</v>
      </c>
      <c r="AF9" s="194">
        <v>0.86699999999999999</v>
      </c>
      <c r="AG9" s="194">
        <v>0.84199999999999997</v>
      </c>
      <c r="AH9" s="194">
        <v>19</v>
      </c>
      <c r="AI9" s="194">
        <v>0.871</v>
      </c>
      <c r="AJ9" s="194">
        <v>0.91700000000000004</v>
      </c>
      <c r="AK9" s="194">
        <v>12</v>
      </c>
      <c r="AL9" s="55"/>
      <c r="AM9" s="55"/>
      <c r="AN9" s="55"/>
      <c r="AO9" s="55"/>
      <c r="AP9" s="55"/>
      <c r="AQ9" s="55"/>
      <c r="AR9" s="55"/>
      <c r="AS9" s="55"/>
      <c r="AT9" s="55"/>
      <c r="AU9" s="55"/>
      <c r="AV9" s="55"/>
      <c r="AW9" s="55"/>
      <c r="AX9" s="55"/>
      <c r="AY9" s="55"/>
      <c r="AZ9" s="55"/>
      <c r="BA9" s="55"/>
      <c r="BB9" s="55"/>
      <c r="BC9" s="55"/>
      <c r="BD9" s="55"/>
      <c r="BE9" s="55"/>
      <c r="BF9" s="55"/>
      <c r="BG9" s="55"/>
      <c r="BH9" s="55"/>
      <c r="BI9" s="55"/>
    </row>
    <row r="10" spans="1:61" x14ac:dyDescent="0.3">
      <c r="A10" s="193" t="s">
        <v>520</v>
      </c>
      <c r="B10" s="194">
        <v>0</v>
      </c>
      <c r="C10" s="194">
        <v>0</v>
      </c>
      <c r="D10" s="194">
        <v>2</v>
      </c>
      <c r="E10" s="194">
        <v>0</v>
      </c>
      <c r="F10" s="194">
        <v>0</v>
      </c>
      <c r="G10" s="194">
        <v>7</v>
      </c>
      <c r="H10" s="194">
        <v>0</v>
      </c>
      <c r="I10" s="194">
        <v>0</v>
      </c>
      <c r="J10" s="194">
        <v>5</v>
      </c>
      <c r="K10" s="194">
        <v>0</v>
      </c>
      <c r="L10" s="194">
        <v>0</v>
      </c>
      <c r="M10" s="194">
        <v>1</v>
      </c>
      <c r="N10" s="194">
        <v>0</v>
      </c>
      <c r="O10" s="194">
        <v>0</v>
      </c>
      <c r="P10" s="194">
        <v>4</v>
      </c>
      <c r="Q10" s="194">
        <v>0</v>
      </c>
      <c r="R10" s="194">
        <v>0</v>
      </c>
      <c r="S10" s="194">
        <v>1</v>
      </c>
      <c r="T10" s="194">
        <v>0</v>
      </c>
      <c r="U10" s="194">
        <v>0</v>
      </c>
      <c r="V10" s="194">
        <v>3</v>
      </c>
      <c r="W10" s="194">
        <v>0</v>
      </c>
      <c r="X10" s="194">
        <v>0</v>
      </c>
      <c r="Y10" s="194">
        <v>1</v>
      </c>
      <c r="Z10" s="194">
        <v>0</v>
      </c>
      <c r="AA10" s="194">
        <v>0</v>
      </c>
      <c r="AB10" s="194">
        <v>1</v>
      </c>
      <c r="AC10" s="194">
        <v>0</v>
      </c>
      <c r="AD10" s="194">
        <v>0</v>
      </c>
      <c r="AE10" s="194">
        <v>1</v>
      </c>
      <c r="AF10" s="194">
        <v>0</v>
      </c>
      <c r="AG10" s="194">
        <v>0</v>
      </c>
      <c r="AH10" s="194">
        <v>3</v>
      </c>
      <c r="AI10" s="194">
        <v>0</v>
      </c>
      <c r="AJ10" s="194"/>
      <c r="AK10" s="194"/>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row>
    <row r="11" spans="1:61" x14ac:dyDescent="0.3">
      <c r="A11" s="193" t="s">
        <v>510</v>
      </c>
      <c r="B11" s="194">
        <v>0.63</v>
      </c>
      <c r="C11" s="194">
        <v>0.58299999999999996</v>
      </c>
      <c r="D11" s="194">
        <v>12</v>
      </c>
      <c r="E11" s="194">
        <v>0.68400000000000005</v>
      </c>
      <c r="F11" s="194">
        <v>0.66700000000000004</v>
      </c>
      <c r="G11" s="194">
        <v>15</v>
      </c>
      <c r="H11" s="194">
        <v>0.72199999999999998</v>
      </c>
      <c r="I11" s="194">
        <v>0.81799999999999995</v>
      </c>
      <c r="J11" s="194">
        <v>11</v>
      </c>
      <c r="K11" s="194">
        <v>0.69399999999999995</v>
      </c>
      <c r="L11" s="194">
        <v>0.7</v>
      </c>
      <c r="M11" s="194">
        <v>10</v>
      </c>
      <c r="N11" s="194">
        <v>0.68799999999999994</v>
      </c>
      <c r="O11" s="194">
        <v>0.6</v>
      </c>
      <c r="P11" s="194">
        <v>15</v>
      </c>
      <c r="Q11" s="194">
        <v>0.61799999999999999</v>
      </c>
      <c r="R11" s="194">
        <v>0.85699999999999998</v>
      </c>
      <c r="S11" s="194">
        <v>7</v>
      </c>
      <c r="T11" s="194">
        <v>0.71899999999999997</v>
      </c>
      <c r="U11" s="194">
        <v>0.5</v>
      </c>
      <c r="V11" s="194">
        <v>12</v>
      </c>
      <c r="W11" s="194">
        <v>0.67600000000000005</v>
      </c>
      <c r="X11" s="194">
        <v>0.84599999999999997</v>
      </c>
      <c r="Y11" s="194">
        <v>13</v>
      </c>
      <c r="Z11" s="194">
        <v>0.71899999999999997</v>
      </c>
      <c r="AA11" s="194">
        <v>0.66700000000000004</v>
      </c>
      <c r="AB11" s="194">
        <v>9</v>
      </c>
      <c r="AC11" s="194">
        <v>0.61299999999999999</v>
      </c>
      <c r="AD11" s="194">
        <v>0.6</v>
      </c>
      <c r="AE11" s="194">
        <v>10</v>
      </c>
      <c r="AF11" s="194">
        <v>0.63300000000000001</v>
      </c>
      <c r="AG11" s="194">
        <v>0.58299999999999996</v>
      </c>
      <c r="AH11" s="194">
        <v>12</v>
      </c>
      <c r="AI11" s="194">
        <v>0.65</v>
      </c>
      <c r="AJ11" s="194">
        <v>0.75</v>
      </c>
      <c r="AK11" s="194">
        <v>8</v>
      </c>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row>
    <row r="12" spans="1:61" x14ac:dyDescent="0.3">
      <c r="A12" s="193" t="s">
        <v>296</v>
      </c>
      <c r="B12" s="194">
        <v>0.192</v>
      </c>
      <c r="C12" s="194">
        <v>9.0999999999999998E-2</v>
      </c>
      <c r="D12" s="194">
        <v>11</v>
      </c>
      <c r="E12" s="194">
        <v>0.22500000000000001</v>
      </c>
      <c r="F12" s="194">
        <v>0.26700000000000002</v>
      </c>
      <c r="G12" s="194">
        <v>15</v>
      </c>
      <c r="H12" s="194">
        <v>0.308</v>
      </c>
      <c r="I12" s="194">
        <v>0.28599999999999998</v>
      </c>
      <c r="J12" s="194">
        <v>14</v>
      </c>
      <c r="K12" s="194">
        <v>0.27800000000000002</v>
      </c>
      <c r="L12" s="194">
        <v>0.4</v>
      </c>
      <c r="M12" s="194">
        <v>10</v>
      </c>
      <c r="N12" s="194">
        <v>0.19500000000000001</v>
      </c>
      <c r="O12" s="194">
        <v>0.16700000000000001</v>
      </c>
      <c r="P12" s="194">
        <v>12</v>
      </c>
      <c r="Q12" s="194">
        <v>0.15</v>
      </c>
      <c r="R12" s="194">
        <v>0.105</v>
      </c>
      <c r="S12" s="194">
        <v>19</v>
      </c>
      <c r="T12" s="194">
        <v>0.23100000000000001</v>
      </c>
      <c r="U12" s="194">
        <v>0.222</v>
      </c>
      <c r="V12" s="194">
        <v>9</v>
      </c>
      <c r="W12" s="194">
        <v>0.40500000000000003</v>
      </c>
      <c r="X12" s="194">
        <v>0.45500000000000002</v>
      </c>
      <c r="Y12" s="194">
        <v>11</v>
      </c>
      <c r="Z12" s="194">
        <v>0.42599999999999999</v>
      </c>
      <c r="AA12" s="194">
        <v>0.45500000000000002</v>
      </c>
      <c r="AB12" s="194">
        <v>22</v>
      </c>
      <c r="AC12" s="194">
        <v>0.4</v>
      </c>
      <c r="AD12" s="194">
        <v>0.35699999999999998</v>
      </c>
      <c r="AE12" s="194">
        <v>14</v>
      </c>
      <c r="AF12" s="194">
        <v>0.32500000000000001</v>
      </c>
      <c r="AG12" s="194">
        <v>0.35699999999999998</v>
      </c>
      <c r="AH12" s="194">
        <v>14</v>
      </c>
      <c r="AI12" s="194">
        <v>0.308</v>
      </c>
      <c r="AJ12" s="194">
        <v>0.25</v>
      </c>
      <c r="AK12" s="194">
        <v>12</v>
      </c>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row>
    <row r="13" spans="1:61" x14ac:dyDescent="0.3">
      <c r="A13" s="193" t="s">
        <v>406</v>
      </c>
      <c r="B13" s="194">
        <v>0.105</v>
      </c>
      <c r="C13" s="194">
        <v>8.5000000000000006E-2</v>
      </c>
      <c r="D13" s="194">
        <v>47</v>
      </c>
      <c r="E13" s="194">
        <v>7.3999999999999996E-2</v>
      </c>
      <c r="F13" s="194">
        <v>0.125</v>
      </c>
      <c r="G13" s="194">
        <v>48</v>
      </c>
      <c r="H13" s="194">
        <v>6.3E-2</v>
      </c>
      <c r="I13" s="194">
        <v>1.9E-2</v>
      </c>
      <c r="J13" s="194">
        <v>54</v>
      </c>
      <c r="K13" s="194">
        <v>4.1000000000000002E-2</v>
      </c>
      <c r="L13" s="194">
        <v>5.2999999999999999E-2</v>
      </c>
      <c r="M13" s="194">
        <v>57</v>
      </c>
      <c r="N13" s="194">
        <v>5.6000000000000001E-2</v>
      </c>
      <c r="O13" s="194">
        <v>5.7000000000000002E-2</v>
      </c>
      <c r="P13" s="194">
        <v>35</v>
      </c>
      <c r="Q13" s="194">
        <v>4.3999999999999997E-2</v>
      </c>
      <c r="R13" s="194">
        <v>5.8999999999999997E-2</v>
      </c>
      <c r="S13" s="194">
        <v>34</v>
      </c>
      <c r="T13" s="194">
        <v>3.7999999999999999E-2</v>
      </c>
      <c r="U13" s="194">
        <v>0</v>
      </c>
      <c r="V13" s="194">
        <v>22</v>
      </c>
      <c r="W13" s="194">
        <v>3.7999999999999999E-2</v>
      </c>
      <c r="X13" s="194">
        <v>4.1000000000000002E-2</v>
      </c>
      <c r="Y13" s="194">
        <v>49</v>
      </c>
      <c r="Z13" s="194">
        <v>5.7000000000000002E-2</v>
      </c>
      <c r="AA13" s="194">
        <v>4.9000000000000002E-2</v>
      </c>
      <c r="AB13" s="194">
        <v>61</v>
      </c>
      <c r="AC13" s="194">
        <v>7.4999999999999997E-2</v>
      </c>
      <c r="AD13" s="194">
        <v>7.6999999999999999E-2</v>
      </c>
      <c r="AE13" s="194">
        <v>65</v>
      </c>
      <c r="AF13" s="194">
        <v>6.3E-2</v>
      </c>
      <c r="AG13" s="194">
        <v>0.09</v>
      </c>
      <c r="AH13" s="194">
        <v>100</v>
      </c>
      <c r="AI13" s="194">
        <v>5.7000000000000002E-2</v>
      </c>
      <c r="AJ13" s="194">
        <v>1.2999999999999999E-2</v>
      </c>
      <c r="AK13" s="194">
        <v>75</v>
      </c>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row>
    <row r="14" spans="1:61" x14ac:dyDescent="0.3">
      <c r="A14" s="193" t="s">
        <v>450</v>
      </c>
      <c r="B14" s="194">
        <v>0.04</v>
      </c>
      <c r="C14" s="194">
        <v>1.6E-2</v>
      </c>
      <c r="D14" s="194">
        <v>63</v>
      </c>
      <c r="E14" s="194">
        <v>4.8000000000000001E-2</v>
      </c>
      <c r="F14" s="194">
        <v>6.6000000000000003E-2</v>
      </c>
      <c r="G14" s="194">
        <v>61</v>
      </c>
      <c r="H14" s="194">
        <v>7.9000000000000001E-2</v>
      </c>
      <c r="I14" s="194">
        <v>6.3E-2</v>
      </c>
      <c r="J14" s="194">
        <v>63</v>
      </c>
      <c r="K14" s="194">
        <v>7.3999999999999996E-2</v>
      </c>
      <c r="L14" s="194">
        <v>0.111</v>
      </c>
      <c r="M14" s="194">
        <v>54</v>
      </c>
      <c r="N14" s="194">
        <v>7.8E-2</v>
      </c>
      <c r="O14" s="194">
        <v>5.0999999999999997E-2</v>
      </c>
      <c r="P14" s="194">
        <v>59</v>
      </c>
      <c r="Q14" s="194">
        <v>5.2999999999999999E-2</v>
      </c>
      <c r="R14" s="194">
        <v>7.4999999999999997E-2</v>
      </c>
      <c r="S14" s="194">
        <v>53</v>
      </c>
      <c r="T14" s="194">
        <v>6.7000000000000004E-2</v>
      </c>
      <c r="U14" s="194">
        <v>2.5000000000000001E-2</v>
      </c>
      <c r="V14" s="194">
        <v>40</v>
      </c>
      <c r="W14" s="194">
        <v>0.09</v>
      </c>
      <c r="X14" s="194">
        <v>9.5000000000000001E-2</v>
      </c>
      <c r="Y14" s="194">
        <v>42</v>
      </c>
      <c r="Z14" s="194">
        <v>0.13200000000000001</v>
      </c>
      <c r="AA14" s="194">
        <v>0.13500000000000001</v>
      </c>
      <c r="AB14" s="194">
        <v>52</v>
      </c>
      <c r="AC14" s="194">
        <v>0.109</v>
      </c>
      <c r="AD14" s="194">
        <v>0.154</v>
      </c>
      <c r="AE14" s="194">
        <v>65</v>
      </c>
      <c r="AF14" s="194">
        <v>8.2000000000000003E-2</v>
      </c>
      <c r="AG14" s="194">
        <v>5.2999999999999999E-2</v>
      </c>
      <c r="AH14" s="194">
        <v>76</v>
      </c>
      <c r="AI14" s="194">
        <v>4.5999999999999999E-2</v>
      </c>
      <c r="AJ14" s="194">
        <v>3.6999999999999998E-2</v>
      </c>
      <c r="AK14" s="194">
        <v>54</v>
      </c>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row>
    <row r="15" spans="1:61" x14ac:dyDescent="0.3">
      <c r="A15" s="193" t="s">
        <v>420</v>
      </c>
      <c r="B15" s="194">
        <v>0</v>
      </c>
      <c r="C15" s="194">
        <v>0</v>
      </c>
      <c r="D15" s="194">
        <v>3</v>
      </c>
      <c r="E15" s="194">
        <v>0</v>
      </c>
      <c r="F15" s="194"/>
      <c r="G15" s="194"/>
      <c r="H15" s="194">
        <v>0</v>
      </c>
      <c r="I15" s="194">
        <v>0</v>
      </c>
      <c r="J15" s="194">
        <v>3</v>
      </c>
      <c r="K15" s="194">
        <v>0</v>
      </c>
      <c r="L15" s="194">
        <v>0</v>
      </c>
      <c r="M15" s="194">
        <v>3</v>
      </c>
      <c r="N15" s="194">
        <v>0.14299999999999999</v>
      </c>
      <c r="O15" s="194">
        <v>0</v>
      </c>
      <c r="P15" s="194">
        <v>1</v>
      </c>
      <c r="Q15" s="194">
        <v>0.16700000000000001</v>
      </c>
      <c r="R15" s="194">
        <v>0.33300000000000002</v>
      </c>
      <c r="S15" s="194">
        <v>3</v>
      </c>
      <c r="T15" s="194">
        <v>0.125</v>
      </c>
      <c r="U15" s="194">
        <v>0</v>
      </c>
      <c r="V15" s="194">
        <v>2</v>
      </c>
      <c r="W15" s="194">
        <v>0.375</v>
      </c>
      <c r="X15" s="194">
        <v>0</v>
      </c>
      <c r="Y15" s="194">
        <v>3</v>
      </c>
      <c r="Z15" s="194">
        <v>0.28599999999999998</v>
      </c>
      <c r="AA15" s="194">
        <v>1</v>
      </c>
      <c r="AB15" s="194">
        <v>3</v>
      </c>
      <c r="AC15" s="194">
        <v>0.6</v>
      </c>
      <c r="AD15" s="194">
        <v>0.125</v>
      </c>
      <c r="AE15" s="194">
        <v>8</v>
      </c>
      <c r="AF15" s="194">
        <v>0.6</v>
      </c>
      <c r="AG15" s="194">
        <v>0.78600000000000003</v>
      </c>
      <c r="AH15" s="194">
        <v>14</v>
      </c>
      <c r="AI15" s="194">
        <v>0.82399999999999995</v>
      </c>
      <c r="AJ15" s="194">
        <v>1</v>
      </c>
      <c r="AK15" s="194">
        <v>3</v>
      </c>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row>
    <row r="16" spans="1:61" x14ac:dyDescent="0.3">
      <c r="A16" s="193" t="s">
        <v>494</v>
      </c>
      <c r="B16" s="194">
        <v>0.9</v>
      </c>
      <c r="C16" s="194">
        <v>0.83299999999999996</v>
      </c>
      <c r="D16" s="194">
        <v>6</v>
      </c>
      <c r="E16" s="194">
        <v>0.875</v>
      </c>
      <c r="F16" s="194">
        <v>1</v>
      </c>
      <c r="G16" s="194">
        <v>4</v>
      </c>
      <c r="H16" s="194">
        <v>0.91700000000000004</v>
      </c>
      <c r="I16" s="194">
        <v>0.83299999999999996</v>
      </c>
      <c r="J16" s="194">
        <v>6</v>
      </c>
      <c r="K16" s="194">
        <v>0.93799999999999994</v>
      </c>
      <c r="L16" s="194">
        <v>1</v>
      </c>
      <c r="M16" s="194">
        <v>2</v>
      </c>
      <c r="N16" s="194">
        <v>1</v>
      </c>
      <c r="O16" s="194">
        <v>1</v>
      </c>
      <c r="P16" s="194">
        <v>8</v>
      </c>
      <c r="Q16" s="194">
        <v>0.94699999999999995</v>
      </c>
      <c r="R16" s="194">
        <v>1</v>
      </c>
      <c r="S16" s="194">
        <v>6</v>
      </c>
      <c r="T16" s="194">
        <v>0.95199999999999996</v>
      </c>
      <c r="U16" s="194">
        <v>0.8</v>
      </c>
      <c r="V16" s="194">
        <v>5</v>
      </c>
      <c r="W16" s="194">
        <v>0.95199999999999996</v>
      </c>
      <c r="X16" s="194">
        <v>1</v>
      </c>
      <c r="Y16" s="194">
        <v>10</v>
      </c>
      <c r="Z16" s="194">
        <v>0.96299999999999997</v>
      </c>
      <c r="AA16" s="194">
        <v>1</v>
      </c>
      <c r="AB16" s="194">
        <v>6</v>
      </c>
      <c r="AC16" s="194">
        <v>0.96299999999999997</v>
      </c>
      <c r="AD16" s="194">
        <v>0.90900000000000003</v>
      </c>
      <c r="AE16" s="194">
        <v>11</v>
      </c>
      <c r="AF16" s="194">
        <v>0.96399999999999997</v>
      </c>
      <c r="AG16" s="194">
        <v>1</v>
      </c>
      <c r="AH16" s="194">
        <v>10</v>
      </c>
      <c r="AI16" s="194">
        <v>1</v>
      </c>
      <c r="AJ16" s="194">
        <v>1</v>
      </c>
      <c r="AK16" s="194">
        <v>7</v>
      </c>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row>
    <row r="17" spans="1:61" x14ac:dyDescent="0.3">
      <c r="A17" s="193" t="s">
        <v>386</v>
      </c>
      <c r="B17" s="194">
        <v>0.47099999999999997</v>
      </c>
      <c r="C17" s="194">
        <v>0.375</v>
      </c>
      <c r="D17" s="194">
        <v>8</v>
      </c>
      <c r="E17" s="194">
        <v>0.45800000000000002</v>
      </c>
      <c r="F17" s="194">
        <v>0.55600000000000005</v>
      </c>
      <c r="G17" s="194">
        <v>9</v>
      </c>
      <c r="H17" s="194">
        <v>0.34599999999999997</v>
      </c>
      <c r="I17" s="194">
        <v>0.42899999999999999</v>
      </c>
      <c r="J17" s="194">
        <v>7</v>
      </c>
      <c r="K17" s="194">
        <v>0.3</v>
      </c>
      <c r="L17" s="194">
        <v>0.1</v>
      </c>
      <c r="M17" s="194">
        <v>10</v>
      </c>
      <c r="N17" s="194">
        <v>0.27300000000000002</v>
      </c>
      <c r="O17" s="194">
        <v>0.38500000000000001</v>
      </c>
      <c r="P17" s="194">
        <v>13</v>
      </c>
      <c r="Q17" s="194">
        <v>0.41199999999999998</v>
      </c>
      <c r="R17" s="194">
        <v>0.3</v>
      </c>
      <c r="S17" s="194">
        <v>10</v>
      </c>
      <c r="T17" s="194">
        <v>0.4</v>
      </c>
      <c r="U17" s="194">
        <v>0.54500000000000004</v>
      </c>
      <c r="V17" s="194">
        <v>11</v>
      </c>
      <c r="W17" s="194">
        <v>0.58799999999999997</v>
      </c>
      <c r="X17" s="194">
        <v>0.33300000000000002</v>
      </c>
      <c r="Y17" s="194">
        <v>9</v>
      </c>
      <c r="Z17" s="194">
        <v>0.72199999999999998</v>
      </c>
      <c r="AA17" s="194">
        <v>0.78600000000000003</v>
      </c>
      <c r="AB17" s="194">
        <v>14</v>
      </c>
      <c r="AC17" s="194">
        <v>0.81100000000000005</v>
      </c>
      <c r="AD17" s="194">
        <v>0.92300000000000004</v>
      </c>
      <c r="AE17" s="194">
        <v>13</v>
      </c>
      <c r="AF17" s="194">
        <v>0.73799999999999999</v>
      </c>
      <c r="AG17" s="194">
        <v>0.7</v>
      </c>
      <c r="AH17" s="194">
        <v>10</v>
      </c>
      <c r="AI17" s="194">
        <v>0.65500000000000003</v>
      </c>
      <c r="AJ17" s="194">
        <v>0.63200000000000001</v>
      </c>
      <c r="AK17" s="194">
        <v>19</v>
      </c>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row>
    <row r="18" spans="1:61" x14ac:dyDescent="0.3">
      <c r="A18" s="193" t="s">
        <v>333</v>
      </c>
      <c r="B18" s="194">
        <v>0.81</v>
      </c>
      <c r="C18" s="194">
        <v>0.83299999999999996</v>
      </c>
      <c r="D18" s="194">
        <v>12</v>
      </c>
      <c r="E18" s="194">
        <v>0.83299999999999996</v>
      </c>
      <c r="F18" s="194">
        <v>0.77800000000000002</v>
      </c>
      <c r="G18" s="194">
        <v>9</v>
      </c>
      <c r="H18" s="194">
        <v>0.85199999999999998</v>
      </c>
      <c r="I18" s="194">
        <v>0.88900000000000001</v>
      </c>
      <c r="J18" s="194">
        <v>9</v>
      </c>
      <c r="K18" s="194">
        <v>0.89700000000000002</v>
      </c>
      <c r="L18" s="194">
        <v>0.88900000000000001</v>
      </c>
      <c r="M18" s="194">
        <v>9</v>
      </c>
      <c r="N18" s="194">
        <v>0.9</v>
      </c>
      <c r="O18" s="194">
        <v>0.90900000000000003</v>
      </c>
      <c r="P18" s="194">
        <v>11</v>
      </c>
      <c r="Q18" s="194">
        <v>0.79400000000000004</v>
      </c>
      <c r="R18" s="194">
        <v>0.9</v>
      </c>
      <c r="S18" s="194">
        <v>10</v>
      </c>
      <c r="T18" s="194">
        <v>0.75800000000000001</v>
      </c>
      <c r="U18" s="194">
        <v>0.61499999999999999</v>
      </c>
      <c r="V18" s="194">
        <v>13</v>
      </c>
      <c r="W18" s="194">
        <v>0.74299999999999999</v>
      </c>
      <c r="X18" s="194">
        <v>0.8</v>
      </c>
      <c r="Y18" s="194">
        <v>10</v>
      </c>
      <c r="Z18" s="194">
        <v>0.879</v>
      </c>
      <c r="AA18" s="194">
        <v>0.83299999999999996</v>
      </c>
      <c r="AB18" s="194">
        <v>12</v>
      </c>
      <c r="AC18" s="194">
        <v>0.86499999999999999</v>
      </c>
      <c r="AD18" s="194">
        <v>1</v>
      </c>
      <c r="AE18" s="194">
        <v>11</v>
      </c>
      <c r="AF18" s="194">
        <v>0.91200000000000003</v>
      </c>
      <c r="AG18" s="194">
        <v>0.78600000000000003</v>
      </c>
      <c r="AH18" s="194">
        <v>14</v>
      </c>
      <c r="AI18" s="194">
        <v>0.87</v>
      </c>
      <c r="AJ18" s="194">
        <v>1</v>
      </c>
      <c r="AK18" s="194">
        <v>9</v>
      </c>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row>
    <row r="19" spans="1:61" x14ac:dyDescent="0.3">
      <c r="A19" s="193" t="s">
        <v>536</v>
      </c>
      <c r="B19" s="194">
        <v>0.66700000000000004</v>
      </c>
      <c r="C19" s="194">
        <v>0.75</v>
      </c>
      <c r="D19" s="194">
        <v>4</v>
      </c>
      <c r="E19" s="194">
        <v>0.7</v>
      </c>
      <c r="F19" s="194">
        <v>0.625</v>
      </c>
      <c r="G19" s="194">
        <v>8</v>
      </c>
      <c r="H19" s="194">
        <v>0.66700000000000004</v>
      </c>
      <c r="I19" s="194">
        <v>0.75</v>
      </c>
      <c r="J19" s="194">
        <v>8</v>
      </c>
      <c r="K19" s="194">
        <v>0.7</v>
      </c>
      <c r="L19" s="194">
        <v>0.6</v>
      </c>
      <c r="M19" s="194">
        <v>5</v>
      </c>
      <c r="N19" s="194">
        <v>0.78900000000000003</v>
      </c>
      <c r="O19" s="194">
        <v>0.71399999999999997</v>
      </c>
      <c r="P19" s="194">
        <v>7</v>
      </c>
      <c r="Q19" s="194">
        <v>0.91300000000000003</v>
      </c>
      <c r="R19" s="194">
        <v>1</v>
      </c>
      <c r="S19" s="194">
        <v>7</v>
      </c>
      <c r="T19" s="194">
        <v>0.86399999999999999</v>
      </c>
      <c r="U19" s="194">
        <v>1</v>
      </c>
      <c r="V19" s="194">
        <v>9</v>
      </c>
      <c r="W19" s="194">
        <v>0.8</v>
      </c>
      <c r="X19" s="194">
        <v>0.5</v>
      </c>
      <c r="Y19" s="194">
        <v>6</v>
      </c>
      <c r="Z19" s="194">
        <v>0.66700000000000004</v>
      </c>
      <c r="AA19" s="194">
        <v>0.8</v>
      </c>
      <c r="AB19" s="194">
        <v>5</v>
      </c>
      <c r="AC19" s="194">
        <v>0.85699999999999998</v>
      </c>
      <c r="AD19" s="194">
        <v>1</v>
      </c>
      <c r="AE19" s="194">
        <v>1</v>
      </c>
      <c r="AF19" s="194">
        <v>1</v>
      </c>
      <c r="AG19" s="194">
        <v>1</v>
      </c>
      <c r="AH19" s="194">
        <v>1</v>
      </c>
      <c r="AI19" s="194">
        <v>1</v>
      </c>
      <c r="AJ19" s="194">
        <v>1</v>
      </c>
      <c r="AK19" s="194">
        <v>2</v>
      </c>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row>
    <row r="20" spans="1:61" x14ac:dyDescent="0.3">
      <c r="A20" s="193" t="s">
        <v>544</v>
      </c>
      <c r="B20" s="194">
        <v>1</v>
      </c>
      <c r="C20" s="194">
        <v>1</v>
      </c>
      <c r="D20" s="194">
        <v>16</v>
      </c>
      <c r="E20" s="194">
        <v>1</v>
      </c>
      <c r="F20" s="194">
        <v>1</v>
      </c>
      <c r="G20" s="194">
        <v>28</v>
      </c>
      <c r="H20" s="194">
        <v>1</v>
      </c>
      <c r="I20" s="194">
        <v>1</v>
      </c>
      <c r="J20" s="194">
        <v>19</v>
      </c>
      <c r="K20" s="194">
        <v>1</v>
      </c>
      <c r="L20" s="194">
        <v>1</v>
      </c>
      <c r="M20" s="194">
        <v>20</v>
      </c>
      <c r="N20" s="194">
        <v>1</v>
      </c>
      <c r="O20" s="194">
        <v>1</v>
      </c>
      <c r="P20" s="194">
        <v>31</v>
      </c>
      <c r="Q20" s="194">
        <v>1</v>
      </c>
      <c r="R20" s="194">
        <v>1</v>
      </c>
      <c r="S20" s="194">
        <v>27</v>
      </c>
      <c r="T20" s="194">
        <v>0.97199999999999998</v>
      </c>
      <c r="U20" s="194">
        <v>1</v>
      </c>
      <c r="V20" s="194">
        <v>26</v>
      </c>
      <c r="W20" s="194">
        <v>0.96899999999999997</v>
      </c>
      <c r="X20" s="194">
        <v>0.89500000000000002</v>
      </c>
      <c r="Y20" s="194">
        <v>19</v>
      </c>
      <c r="Z20" s="194">
        <v>0.90300000000000002</v>
      </c>
      <c r="AA20" s="194">
        <v>1</v>
      </c>
      <c r="AB20" s="194">
        <v>20</v>
      </c>
      <c r="AC20" s="194">
        <v>0.92900000000000005</v>
      </c>
      <c r="AD20" s="194">
        <v>0.82599999999999996</v>
      </c>
      <c r="AE20" s="194">
        <v>23</v>
      </c>
      <c r="AF20" s="194">
        <v>0.93700000000000006</v>
      </c>
      <c r="AG20" s="194">
        <v>0.96299999999999997</v>
      </c>
      <c r="AH20" s="194">
        <v>27</v>
      </c>
      <c r="AI20" s="194">
        <v>0.98199999999999998</v>
      </c>
      <c r="AJ20" s="194">
        <v>1</v>
      </c>
      <c r="AK20" s="194">
        <v>29</v>
      </c>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row>
    <row r="21" spans="1:61" x14ac:dyDescent="0.3">
      <c r="A21" s="193" t="s">
        <v>480</v>
      </c>
      <c r="B21" s="194">
        <v>0.52600000000000002</v>
      </c>
      <c r="C21" s="194">
        <v>0.56499999999999995</v>
      </c>
      <c r="D21" s="194">
        <v>23</v>
      </c>
      <c r="E21" s="194">
        <v>0.50900000000000001</v>
      </c>
      <c r="F21" s="194">
        <v>0.46700000000000003</v>
      </c>
      <c r="G21" s="194">
        <v>15</v>
      </c>
      <c r="H21" s="194">
        <v>0.56899999999999995</v>
      </c>
      <c r="I21" s="194">
        <v>0.47099999999999997</v>
      </c>
      <c r="J21" s="194">
        <v>17</v>
      </c>
      <c r="K21" s="194">
        <v>0.60299999999999998</v>
      </c>
      <c r="L21" s="194">
        <v>0.73699999999999999</v>
      </c>
      <c r="M21" s="194">
        <v>19</v>
      </c>
      <c r="N21" s="194">
        <v>0.68600000000000005</v>
      </c>
      <c r="O21" s="194">
        <v>0.59299999999999997</v>
      </c>
      <c r="P21" s="194">
        <v>27</v>
      </c>
      <c r="Q21" s="194">
        <v>0.70799999999999996</v>
      </c>
      <c r="R21" s="194">
        <v>0.75</v>
      </c>
      <c r="S21" s="194">
        <v>24</v>
      </c>
      <c r="T21" s="194">
        <v>0.75800000000000001</v>
      </c>
      <c r="U21" s="194">
        <v>0.81</v>
      </c>
      <c r="V21" s="194">
        <v>21</v>
      </c>
      <c r="W21" s="194">
        <v>0.76200000000000001</v>
      </c>
      <c r="X21" s="194">
        <v>0.70599999999999996</v>
      </c>
      <c r="Y21" s="194">
        <v>17</v>
      </c>
      <c r="Z21" s="194">
        <v>0.75</v>
      </c>
      <c r="AA21" s="194">
        <v>0.76</v>
      </c>
      <c r="AB21" s="194">
        <v>25</v>
      </c>
      <c r="AC21" s="194">
        <v>0.72599999999999998</v>
      </c>
      <c r="AD21" s="194">
        <v>0.76900000000000002</v>
      </c>
      <c r="AE21" s="194">
        <v>26</v>
      </c>
      <c r="AF21" s="194">
        <v>0.65</v>
      </c>
      <c r="AG21" s="194">
        <v>0.63600000000000001</v>
      </c>
      <c r="AH21" s="194">
        <v>22</v>
      </c>
      <c r="AI21" s="194">
        <v>0.59299999999999997</v>
      </c>
      <c r="AJ21" s="194">
        <v>0.56299999999999994</v>
      </c>
      <c r="AK21" s="194">
        <v>32</v>
      </c>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row>
    <row r="22" spans="1:61" x14ac:dyDescent="0.3">
      <c r="A22" s="193" t="s">
        <v>408</v>
      </c>
      <c r="B22" s="194">
        <v>0.93799999999999994</v>
      </c>
      <c r="C22" s="194">
        <v>1</v>
      </c>
      <c r="D22" s="194">
        <v>8</v>
      </c>
      <c r="E22" s="194">
        <v>0.91300000000000003</v>
      </c>
      <c r="F22" s="194">
        <v>0.875</v>
      </c>
      <c r="G22" s="194">
        <v>8</v>
      </c>
      <c r="H22" s="194">
        <v>0.89500000000000002</v>
      </c>
      <c r="I22" s="194">
        <v>0.85699999999999998</v>
      </c>
      <c r="J22" s="194">
        <v>7</v>
      </c>
      <c r="K22" s="194">
        <v>0.82599999999999996</v>
      </c>
      <c r="L22" s="194">
        <v>1</v>
      </c>
      <c r="M22" s="194">
        <v>4</v>
      </c>
      <c r="N22" s="194">
        <v>0.81799999999999995</v>
      </c>
      <c r="O22" s="194">
        <v>0.75</v>
      </c>
      <c r="P22" s="194">
        <v>12</v>
      </c>
      <c r="Q22" s="194">
        <v>0.8</v>
      </c>
      <c r="R22" s="194">
        <v>0.83299999999999996</v>
      </c>
      <c r="S22" s="194">
        <v>6</v>
      </c>
      <c r="T22" s="194">
        <v>0.89500000000000002</v>
      </c>
      <c r="U22" s="194">
        <v>0.85699999999999998</v>
      </c>
      <c r="V22" s="194">
        <v>7</v>
      </c>
      <c r="W22" s="194">
        <v>0.74099999999999999</v>
      </c>
      <c r="X22" s="194">
        <v>1</v>
      </c>
      <c r="Y22" s="194">
        <v>6</v>
      </c>
      <c r="Z22" s="194">
        <v>0.621</v>
      </c>
      <c r="AA22" s="194">
        <v>0.57099999999999995</v>
      </c>
      <c r="AB22" s="194">
        <v>14</v>
      </c>
      <c r="AC22" s="194">
        <v>0.55200000000000005</v>
      </c>
      <c r="AD22" s="194">
        <v>0.44400000000000001</v>
      </c>
      <c r="AE22" s="194">
        <v>9</v>
      </c>
      <c r="AF22" s="194">
        <v>0.61499999999999999</v>
      </c>
      <c r="AG22" s="194">
        <v>0.66700000000000004</v>
      </c>
      <c r="AH22" s="194">
        <v>6</v>
      </c>
      <c r="AI22" s="194">
        <v>0.70599999999999996</v>
      </c>
      <c r="AJ22" s="194">
        <v>0.72699999999999998</v>
      </c>
      <c r="AK22" s="194">
        <v>11</v>
      </c>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row>
    <row r="23" spans="1:61" x14ac:dyDescent="0.3">
      <c r="A23" s="193" t="s">
        <v>488</v>
      </c>
      <c r="B23" s="194">
        <v>0.72699999999999998</v>
      </c>
      <c r="C23" s="194">
        <v>0.66700000000000004</v>
      </c>
      <c r="D23" s="194">
        <v>3</v>
      </c>
      <c r="E23" s="194">
        <v>0.56299999999999994</v>
      </c>
      <c r="F23" s="194">
        <v>0.75</v>
      </c>
      <c r="G23" s="194">
        <v>8</v>
      </c>
      <c r="H23" s="194">
        <v>0.58799999999999997</v>
      </c>
      <c r="I23" s="194">
        <v>0.2</v>
      </c>
      <c r="J23" s="194">
        <v>5</v>
      </c>
      <c r="K23" s="194">
        <v>0.57099999999999995</v>
      </c>
      <c r="L23" s="194">
        <v>0.75</v>
      </c>
      <c r="M23" s="194">
        <v>4</v>
      </c>
      <c r="N23" s="194">
        <v>0.71399999999999997</v>
      </c>
      <c r="O23" s="194">
        <v>0.8</v>
      </c>
      <c r="P23" s="194">
        <v>5</v>
      </c>
      <c r="Q23" s="194">
        <v>0.69199999999999995</v>
      </c>
      <c r="R23" s="194">
        <v>0.6</v>
      </c>
      <c r="S23" s="194">
        <v>5</v>
      </c>
      <c r="T23" s="194">
        <v>0.46700000000000003</v>
      </c>
      <c r="U23" s="194">
        <v>0.66700000000000004</v>
      </c>
      <c r="V23" s="194">
        <v>3</v>
      </c>
      <c r="W23" s="194">
        <v>0.41699999999999998</v>
      </c>
      <c r="X23" s="194">
        <v>0.28599999999999998</v>
      </c>
      <c r="Y23" s="194">
        <v>7</v>
      </c>
      <c r="Z23" s="194">
        <v>0.47599999999999998</v>
      </c>
      <c r="AA23" s="194">
        <v>0.5</v>
      </c>
      <c r="AB23" s="194">
        <v>2</v>
      </c>
      <c r="AC23" s="194">
        <v>0.52400000000000002</v>
      </c>
      <c r="AD23" s="194">
        <v>0.58299999999999996</v>
      </c>
      <c r="AE23" s="194">
        <v>12</v>
      </c>
      <c r="AF23" s="194">
        <v>0.5</v>
      </c>
      <c r="AG23" s="194">
        <v>0.42899999999999999</v>
      </c>
      <c r="AH23" s="194">
        <v>7</v>
      </c>
      <c r="AI23" s="194">
        <v>0.375</v>
      </c>
      <c r="AJ23" s="194">
        <v>0</v>
      </c>
      <c r="AK23" s="194">
        <v>1</v>
      </c>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row>
    <row r="24" spans="1:61" x14ac:dyDescent="0.3">
      <c r="A24" s="193" t="s">
        <v>284</v>
      </c>
      <c r="B24" s="194">
        <v>0.6</v>
      </c>
      <c r="C24" s="194">
        <v>0.7</v>
      </c>
      <c r="D24" s="194">
        <v>20</v>
      </c>
      <c r="E24" s="194">
        <v>0.63800000000000001</v>
      </c>
      <c r="F24" s="194">
        <v>0.46700000000000003</v>
      </c>
      <c r="G24" s="194">
        <v>15</v>
      </c>
      <c r="H24" s="194">
        <v>0.64300000000000002</v>
      </c>
      <c r="I24" s="194">
        <v>0.75</v>
      </c>
      <c r="J24" s="194">
        <v>12</v>
      </c>
      <c r="K24" s="194">
        <v>0.65900000000000003</v>
      </c>
      <c r="L24" s="194">
        <v>0.73299999999999998</v>
      </c>
      <c r="M24" s="194">
        <v>15</v>
      </c>
      <c r="N24" s="194">
        <v>0.56000000000000005</v>
      </c>
      <c r="O24" s="194">
        <v>0.52900000000000003</v>
      </c>
      <c r="P24" s="194">
        <v>17</v>
      </c>
      <c r="Q24" s="194">
        <v>0.56899999999999995</v>
      </c>
      <c r="R24" s="194">
        <v>0.44400000000000001</v>
      </c>
      <c r="S24" s="194">
        <v>18</v>
      </c>
      <c r="T24" s="194">
        <v>0.62</v>
      </c>
      <c r="U24" s="194">
        <v>0.75</v>
      </c>
      <c r="V24" s="194">
        <v>16</v>
      </c>
      <c r="W24" s="194">
        <v>0.7</v>
      </c>
      <c r="X24" s="194">
        <v>0.68799999999999994</v>
      </c>
      <c r="Y24" s="194">
        <v>16</v>
      </c>
      <c r="Z24" s="194">
        <v>0.69799999999999995</v>
      </c>
      <c r="AA24" s="194">
        <v>0.66700000000000004</v>
      </c>
      <c r="AB24" s="194">
        <v>18</v>
      </c>
      <c r="AC24" s="194">
        <v>0.72699999999999998</v>
      </c>
      <c r="AD24" s="194">
        <v>0.72399999999999998</v>
      </c>
      <c r="AE24" s="194">
        <v>29</v>
      </c>
      <c r="AF24" s="194">
        <v>0.70099999999999996</v>
      </c>
      <c r="AG24" s="194">
        <v>0.76700000000000002</v>
      </c>
      <c r="AH24" s="194">
        <v>30</v>
      </c>
      <c r="AI24" s="194">
        <v>0.69</v>
      </c>
      <c r="AJ24" s="194">
        <v>0.60699999999999998</v>
      </c>
      <c r="AK24" s="194">
        <v>28</v>
      </c>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row>
    <row r="25" spans="1:61" x14ac:dyDescent="0.3">
      <c r="A25" s="193" t="s">
        <v>554</v>
      </c>
      <c r="B25" s="194">
        <v>0.873</v>
      </c>
      <c r="C25" s="194">
        <v>0.81499999999999995</v>
      </c>
      <c r="D25" s="194">
        <v>27</v>
      </c>
      <c r="E25" s="194">
        <v>0.84299999999999997</v>
      </c>
      <c r="F25" s="194">
        <v>0.91700000000000004</v>
      </c>
      <c r="G25" s="194">
        <v>36</v>
      </c>
      <c r="H25" s="194">
        <v>0.82899999999999996</v>
      </c>
      <c r="I25" s="194">
        <v>0.79500000000000004</v>
      </c>
      <c r="J25" s="194">
        <v>39</v>
      </c>
      <c r="K25" s="194">
        <v>0.81599999999999995</v>
      </c>
      <c r="L25" s="194">
        <v>0.78600000000000003</v>
      </c>
      <c r="M25" s="194">
        <v>42</v>
      </c>
      <c r="N25" s="194">
        <v>0.81299999999999994</v>
      </c>
      <c r="O25" s="194">
        <v>0.94099999999999995</v>
      </c>
      <c r="P25" s="194">
        <v>17</v>
      </c>
      <c r="Q25" s="194">
        <v>0.63100000000000001</v>
      </c>
      <c r="R25" s="194">
        <v>0.79200000000000004</v>
      </c>
      <c r="S25" s="194">
        <v>48</v>
      </c>
      <c r="T25" s="194">
        <v>0.64500000000000002</v>
      </c>
      <c r="U25" s="194">
        <v>0.28899999999999998</v>
      </c>
      <c r="V25" s="194">
        <v>38</v>
      </c>
      <c r="W25" s="194">
        <v>0.63800000000000001</v>
      </c>
      <c r="X25" s="194">
        <v>0.81599999999999995</v>
      </c>
      <c r="Y25" s="194">
        <v>38</v>
      </c>
      <c r="Z25" s="194">
        <v>0.81399999999999995</v>
      </c>
      <c r="AA25" s="194">
        <v>0.75900000000000001</v>
      </c>
      <c r="AB25" s="194">
        <v>54</v>
      </c>
      <c r="AC25" s="194">
        <v>0.80900000000000005</v>
      </c>
      <c r="AD25" s="194">
        <v>0.875</v>
      </c>
      <c r="AE25" s="194">
        <v>48</v>
      </c>
      <c r="AF25" s="194">
        <v>0.85</v>
      </c>
      <c r="AG25" s="194">
        <v>0.8</v>
      </c>
      <c r="AH25" s="194">
        <v>50</v>
      </c>
      <c r="AI25" s="194">
        <v>0.83699999999999997</v>
      </c>
      <c r="AJ25" s="194">
        <v>0.88100000000000001</v>
      </c>
      <c r="AK25" s="194">
        <v>42</v>
      </c>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row>
    <row r="26" spans="1:61" x14ac:dyDescent="0.3">
      <c r="A26" s="193" t="s">
        <v>369</v>
      </c>
      <c r="B26" s="194">
        <v>0.316</v>
      </c>
      <c r="C26" s="194">
        <v>0.4</v>
      </c>
      <c r="D26" s="194">
        <v>10</v>
      </c>
      <c r="E26" s="194">
        <v>0.34499999999999997</v>
      </c>
      <c r="F26" s="194">
        <v>0.222</v>
      </c>
      <c r="G26" s="194">
        <v>9</v>
      </c>
      <c r="H26" s="194">
        <v>0.29199999999999998</v>
      </c>
      <c r="I26" s="194">
        <v>0.4</v>
      </c>
      <c r="J26" s="194">
        <v>10</v>
      </c>
      <c r="K26" s="194">
        <v>0.214</v>
      </c>
      <c r="L26" s="194">
        <v>0.2</v>
      </c>
      <c r="M26" s="194">
        <v>5</v>
      </c>
      <c r="N26" s="194">
        <v>7.6999999999999999E-2</v>
      </c>
      <c r="O26" s="194">
        <v>7.6999999999999999E-2</v>
      </c>
      <c r="P26" s="194">
        <v>13</v>
      </c>
      <c r="Q26" s="194">
        <v>3.6999999999999998E-2</v>
      </c>
      <c r="R26" s="194">
        <v>0</v>
      </c>
      <c r="S26" s="194">
        <v>8</v>
      </c>
      <c r="T26" s="194">
        <v>3.6999999999999998E-2</v>
      </c>
      <c r="U26" s="194">
        <v>0</v>
      </c>
      <c r="V26" s="194">
        <v>6</v>
      </c>
      <c r="W26" s="194">
        <v>3.7999999999999999E-2</v>
      </c>
      <c r="X26" s="194">
        <v>7.6999999999999999E-2</v>
      </c>
      <c r="Y26" s="194">
        <v>13</v>
      </c>
      <c r="Z26" s="194">
        <v>3.3000000000000002E-2</v>
      </c>
      <c r="AA26" s="194">
        <v>0</v>
      </c>
      <c r="AB26" s="194">
        <v>7</v>
      </c>
      <c r="AC26" s="194">
        <v>0</v>
      </c>
      <c r="AD26" s="194">
        <v>0</v>
      </c>
      <c r="AE26" s="194">
        <v>10</v>
      </c>
      <c r="AF26" s="194">
        <v>7.6999999999999999E-2</v>
      </c>
      <c r="AG26" s="194">
        <v>0</v>
      </c>
      <c r="AH26" s="194">
        <v>6</v>
      </c>
      <c r="AI26" s="194">
        <v>0.125</v>
      </c>
      <c r="AJ26" s="194">
        <v>0.2</v>
      </c>
      <c r="AK26" s="194">
        <v>10</v>
      </c>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row>
    <row r="27" spans="1:61" x14ac:dyDescent="0.3">
      <c r="A27" s="193" t="s">
        <v>262</v>
      </c>
      <c r="B27" s="194">
        <v>0.5</v>
      </c>
      <c r="C27" s="194">
        <v>0.57099999999999995</v>
      </c>
      <c r="D27" s="194">
        <v>7</v>
      </c>
      <c r="E27" s="194">
        <v>0.52200000000000002</v>
      </c>
      <c r="F27" s="194">
        <v>0.46200000000000002</v>
      </c>
      <c r="G27" s="194">
        <v>13</v>
      </c>
      <c r="H27" s="194">
        <v>0.64</v>
      </c>
      <c r="I27" s="194">
        <v>0.66700000000000004</v>
      </c>
      <c r="J27" s="194">
        <v>3</v>
      </c>
      <c r="K27" s="194">
        <v>0.90500000000000003</v>
      </c>
      <c r="L27" s="194">
        <v>0.88900000000000001</v>
      </c>
      <c r="M27" s="194">
        <v>9</v>
      </c>
      <c r="N27" s="194">
        <v>0.96399999999999997</v>
      </c>
      <c r="O27" s="194">
        <v>1</v>
      </c>
      <c r="P27" s="194">
        <v>9</v>
      </c>
      <c r="Q27" s="194">
        <v>1</v>
      </c>
      <c r="R27" s="194">
        <v>1</v>
      </c>
      <c r="S27" s="194">
        <v>10</v>
      </c>
      <c r="T27" s="194">
        <v>1</v>
      </c>
      <c r="U27" s="194">
        <v>1</v>
      </c>
      <c r="V27" s="194">
        <v>12</v>
      </c>
      <c r="W27" s="194">
        <v>0.97</v>
      </c>
      <c r="X27" s="194">
        <v>1</v>
      </c>
      <c r="Y27" s="194">
        <v>7</v>
      </c>
      <c r="Z27" s="194">
        <v>0.83899999999999997</v>
      </c>
      <c r="AA27" s="194">
        <v>0.92900000000000005</v>
      </c>
      <c r="AB27" s="194">
        <v>14</v>
      </c>
      <c r="AC27" s="194">
        <v>0.65800000000000003</v>
      </c>
      <c r="AD27" s="194">
        <v>0.6</v>
      </c>
      <c r="AE27" s="194">
        <v>10</v>
      </c>
      <c r="AF27" s="194">
        <v>0.55200000000000005</v>
      </c>
      <c r="AG27" s="194">
        <v>0.42899999999999999</v>
      </c>
      <c r="AH27" s="194">
        <v>14</v>
      </c>
      <c r="AI27" s="194">
        <v>0.52600000000000002</v>
      </c>
      <c r="AJ27" s="194">
        <v>0.8</v>
      </c>
      <c r="AK27" s="194">
        <v>5</v>
      </c>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row>
    <row r="28" spans="1:61" x14ac:dyDescent="0.3">
      <c r="A28" s="193" t="s">
        <v>500</v>
      </c>
      <c r="B28" s="194">
        <v>1</v>
      </c>
      <c r="C28" s="194">
        <v>1</v>
      </c>
      <c r="D28" s="194">
        <v>5</v>
      </c>
      <c r="E28" s="194">
        <v>0.94099999999999995</v>
      </c>
      <c r="F28" s="194">
        <v>1</v>
      </c>
      <c r="G28" s="194">
        <v>7</v>
      </c>
      <c r="H28" s="194">
        <v>0.85699999999999998</v>
      </c>
      <c r="I28" s="194">
        <v>0.8</v>
      </c>
      <c r="J28" s="194">
        <v>5</v>
      </c>
      <c r="K28" s="194">
        <v>0.77800000000000002</v>
      </c>
      <c r="L28" s="194">
        <v>0.5</v>
      </c>
      <c r="M28" s="194">
        <v>2</v>
      </c>
      <c r="N28" s="194">
        <v>0.75</v>
      </c>
      <c r="O28" s="194">
        <v>1</v>
      </c>
      <c r="P28" s="194">
        <v>2</v>
      </c>
      <c r="Q28" s="194">
        <v>0.9</v>
      </c>
      <c r="R28" s="194">
        <v>0.75</v>
      </c>
      <c r="S28" s="194">
        <v>4</v>
      </c>
      <c r="T28" s="194">
        <v>0.85</v>
      </c>
      <c r="U28" s="194">
        <v>1</v>
      </c>
      <c r="V28" s="194">
        <v>4</v>
      </c>
      <c r="W28" s="194">
        <v>0.79200000000000004</v>
      </c>
      <c r="X28" s="194">
        <v>0.83299999999999996</v>
      </c>
      <c r="Y28" s="194">
        <v>12</v>
      </c>
      <c r="Z28" s="194">
        <v>0.8</v>
      </c>
      <c r="AA28" s="194">
        <v>0.625</v>
      </c>
      <c r="AB28" s="194">
        <v>8</v>
      </c>
      <c r="AC28" s="194">
        <v>0.82399999999999995</v>
      </c>
      <c r="AD28" s="194">
        <v>1</v>
      </c>
      <c r="AE28" s="194">
        <v>5</v>
      </c>
      <c r="AF28" s="194">
        <v>0.92300000000000004</v>
      </c>
      <c r="AG28" s="194">
        <v>1</v>
      </c>
      <c r="AH28" s="194">
        <v>4</v>
      </c>
      <c r="AI28" s="194">
        <v>0.875</v>
      </c>
      <c r="AJ28" s="194">
        <v>0.75</v>
      </c>
      <c r="AK28" s="194">
        <v>4</v>
      </c>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row>
    <row r="29" spans="1:61" x14ac:dyDescent="0.3">
      <c r="A29" s="193" t="s">
        <v>454</v>
      </c>
      <c r="B29" s="194">
        <v>0.90900000000000003</v>
      </c>
      <c r="C29" s="194">
        <v>0.81299999999999994</v>
      </c>
      <c r="D29" s="194">
        <v>16</v>
      </c>
      <c r="E29" s="194">
        <v>0.88600000000000001</v>
      </c>
      <c r="F29" s="194">
        <v>0.96399999999999997</v>
      </c>
      <c r="G29" s="194">
        <v>28</v>
      </c>
      <c r="H29" s="194">
        <v>0.88300000000000001</v>
      </c>
      <c r="I29" s="194">
        <v>0.84599999999999997</v>
      </c>
      <c r="J29" s="194">
        <v>26</v>
      </c>
      <c r="K29" s="194">
        <v>0.86599999999999999</v>
      </c>
      <c r="L29" s="194">
        <v>0.82599999999999996</v>
      </c>
      <c r="M29" s="194">
        <v>23</v>
      </c>
      <c r="N29" s="194">
        <v>0.91800000000000004</v>
      </c>
      <c r="O29" s="194">
        <v>0.94399999999999995</v>
      </c>
      <c r="P29" s="194">
        <v>18</v>
      </c>
      <c r="Q29" s="194">
        <v>0.95099999999999996</v>
      </c>
      <c r="R29" s="194">
        <v>1</v>
      </c>
      <c r="S29" s="194">
        <v>20</v>
      </c>
      <c r="T29" s="194">
        <v>0.88600000000000001</v>
      </c>
      <c r="U29" s="194">
        <v>0.91300000000000003</v>
      </c>
      <c r="V29" s="194">
        <v>23</v>
      </c>
      <c r="W29" s="194">
        <v>0.83599999999999997</v>
      </c>
      <c r="X29" s="194">
        <v>0.77800000000000002</v>
      </c>
      <c r="Y29" s="194">
        <v>27</v>
      </c>
      <c r="Z29" s="194">
        <v>0.84199999999999997</v>
      </c>
      <c r="AA29" s="194">
        <v>0.81799999999999995</v>
      </c>
      <c r="AB29" s="194">
        <v>11</v>
      </c>
      <c r="AC29" s="194">
        <v>0.91200000000000003</v>
      </c>
      <c r="AD29" s="194">
        <v>0.94699999999999995</v>
      </c>
      <c r="AE29" s="194">
        <v>19</v>
      </c>
      <c r="AF29" s="194">
        <v>0.91500000000000004</v>
      </c>
      <c r="AG29" s="194">
        <v>0.92600000000000005</v>
      </c>
      <c r="AH29" s="194">
        <v>27</v>
      </c>
      <c r="AI29" s="194">
        <v>0.90500000000000003</v>
      </c>
      <c r="AJ29" s="194">
        <v>0.88900000000000001</v>
      </c>
      <c r="AK29" s="194">
        <v>36</v>
      </c>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row>
    <row r="30" spans="1:61" x14ac:dyDescent="0.3">
      <c r="A30" s="193" t="s">
        <v>412</v>
      </c>
      <c r="B30" s="194">
        <v>0.8</v>
      </c>
      <c r="C30" s="194">
        <v>0.9</v>
      </c>
      <c r="D30" s="194">
        <v>10</v>
      </c>
      <c r="E30" s="194">
        <v>0.8</v>
      </c>
      <c r="F30" s="194">
        <v>0.6</v>
      </c>
      <c r="G30" s="194">
        <v>5</v>
      </c>
      <c r="H30" s="194">
        <v>0.71399999999999997</v>
      </c>
      <c r="I30" s="194"/>
      <c r="J30" s="194"/>
      <c r="K30" s="194">
        <v>0.66700000000000004</v>
      </c>
      <c r="L30" s="194">
        <v>1</v>
      </c>
      <c r="M30" s="194">
        <v>2</v>
      </c>
      <c r="N30" s="194">
        <v>0.7</v>
      </c>
      <c r="O30" s="194">
        <v>0.57099999999999995</v>
      </c>
      <c r="P30" s="194">
        <v>7</v>
      </c>
      <c r="Q30" s="194">
        <v>0.72699999999999998</v>
      </c>
      <c r="R30" s="194">
        <v>1</v>
      </c>
      <c r="S30" s="194">
        <v>1</v>
      </c>
      <c r="T30" s="194">
        <v>0.9</v>
      </c>
      <c r="U30" s="194">
        <v>1</v>
      </c>
      <c r="V30" s="194">
        <v>3</v>
      </c>
      <c r="W30" s="194">
        <v>0.92300000000000004</v>
      </c>
      <c r="X30" s="194">
        <v>0.83299999999999996</v>
      </c>
      <c r="Y30" s="194">
        <v>6</v>
      </c>
      <c r="Z30" s="194">
        <v>0.91700000000000004</v>
      </c>
      <c r="AA30" s="194">
        <v>1</v>
      </c>
      <c r="AB30" s="194">
        <v>4</v>
      </c>
      <c r="AC30" s="194">
        <v>1</v>
      </c>
      <c r="AD30" s="194">
        <v>1</v>
      </c>
      <c r="AE30" s="194">
        <v>2</v>
      </c>
      <c r="AF30" s="194">
        <v>1</v>
      </c>
      <c r="AG30" s="194">
        <v>1</v>
      </c>
      <c r="AH30" s="194">
        <v>5</v>
      </c>
      <c r="AI30" s="194">
        <v>1</v>
      </c>
      <c r="AJ30" s="194">
        <v>1</v>
      </c>
      <c r="AK30" s="194">
        <v>12</v>
      </c>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row>
    <row r="31" spans="1:61" x14ac:dyDescent="0.3">
      <c r="A31" s="193" t="s">
        <v>346</v>
      </c>
      <c r="B31" s="194">
        <v>0.77</v>
      </c>
      <c r="C31" s="194">
        <v>0.76300000000000001</v>
      </c>
      <c r="D31" s="194">
        <v>38</v>
      </c>
      <c r="E31" s="194">
        <v>0.71699999999999997</v>
      </c>
      <c r="F31" s="194">
        <v>0.77800000000000002</v>
      </c>
      <c r="G31" s="194">
        <v>36</v>
      </c>
      <c r="H31" s="194">
        <v>0.752</v>
      </c>
      <c r="I31" s="194">
        <v>0.59399999999999997</v>
      </c>
      <c r="J31" s="194">
        <v>32</v>
      </c>
      <c r="K31" s="194">
        <v>0.68100000000000005</v>
      </c>
      <c r="L31" s="194">
        <v>0.86499999999999999</v>
      </c>
      <c r="M31" s="194">
        <v>37</v>
      </c>
      <c r="N31" s="194">
        <v>0.67200000000000004</v>
      </c>
      <c r="O31" s="194">
        <v>0.59099999999999997</v>
      </c>
      <c r="P31" s="194">
        <v>44</v>
      </c>
      <c r="Q31" s="194">
        <v>0.61</v>
      </c>
      <c r="R31" s="194">
        <v>0.58499999999999996</v>
      </c>
      <c r="S31" s="194">
        <v>41</v>
      </c>
      <c r="T31" s="194">
        <v>0.66400000000000003</v>
      </c>
      <c r="U31" s="194">
        <v>0.66700000000000004</v>
      </c>
      <c r="V31" s="194">
        <v>33</v>
      </c>
      <c r="W31" s="194">
        <v>0.72099999999999997</v>
      </c>
      <c r="X31" s="194">
        <v>0.73799999999999999</v>
      </c>
      <c r="Y31" s="194">
        <v>42</v>
      </c>
      <c r="Z31" s="194">
        <v>0.754</v>
      </c>
      <c r="AA31" s="194">
        <v>0.74099999999999999</v>
      </c>
      <c r="AB31" s="194">
        <v>54</v>
      </c>
      <c r="AC31" s="194">
        <v>0.79100000000000004</v>
      </c>
      <c r="AD31" s="194">
        <v>0.78300000000000003</v>
      </c>
      <c r="AE31" s="194">
        <v>46</v>
      </c>
      <c r="AF31" s="194">
        <v>0.85</v>
      </c>
      <c r="AG31" s="194">
        <v>0.84499999999999997</v>
      </c>
      <c r="AH31" s="194">
        <v>58</v>
      </c>
      <c r="AI31" s="194">
        <v>0.879</v>
      </c>
      <c r="AJ31" s="194">
        <v>0.91800000000000004</v>
      </c>
      <c r="AK31" s="194">
        <v>49</v>
      </c>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row>
    <row r="32" spans="1:61" x14ac:dyDescent="0.3">
      <c r="A32" s="193" t="s">
        <v>352</v>
      </c>
      <c r="B32" s="194">
        <v>0.307</v>
      </c>
      <c r="C32" s="194">
        <v>0.32100000000000001</v>
      </c>
      <c r="D32" s="194">
        <v>56</v>
      </c>
      <c r="E32" s="194">
        <v>0.28699999999999998</v>
      </c>
      <c r="F32" s="194">
        <v>0.29299999999999998</v>
      </c>
      <c r="G32" s="194">
        <v>58</v>
      </c>
      <c r="H32" s="194">
        <v>0.219</v>
      </c>
      <c r="I32" s="194">
        <v>0.24</v>
      </c>
      <c r="J32" s="194">
        <v>50</v>
      </c>
      <c r="K32" s="194">
        <v>0.17299999999999999</v>
      </c>
      <c r="L32" s="194">
        <v>0.115</v>
      </c>
      <c r="M32" s="194">
        <v>52</v>
      </c>
      <c r="N32" s="194">
        <v>0.151</v>
      </c>
      <c r="O32" s="194">
        <v>0.16700000000000001</v>
      </c>
      <c r="P32" s="194">
        <v>48</v>
      </c>
      <c r="Q32" s="194">
        <v>0.30599999999999999</v>
      </c>
      <c r="R32" s="194">
        <v>0.17899999999999999</v>
      </c>
      <c r="S32" s="194">
        <v>39</v>
      </c>
      <c r="T32" s="194">
        <v>0.53400000000000003</v>
      </c>
      <c r="U32" s="194">
        <v>0.622</v>
      </c>
      <c r="V32" s="194">
        <v>37</v>
      </c>
      <c r="W32" s="194">
        <v>0.752</v>
      </c>
      <c r="X32" s="194">
        <v>0.8</v>
      </c>
      <c r="Y32" s="194">
        <v>40</v>
      </c>
      <c r="Z32" s="194">
        <v>0.79900000000000004</v>
      </c>
      <c r="AA32" s="194">
        <v>0.81799999999999995</v>
      </c>
      <c r="AB32" s="194">
        <v>44</v>
      </c>
      <c r="AC32" s="194">
        <v>0.80700000000000005</v>
      </c>
      <c r="AD32" s="194">
        <v>0.78200000000000003</v>
      </c>
      <c r="AE32" s="194">
        <v>55</v>
      </c>
      <c r="AF32" s="194">
        <v>0.82099999999999995</v>
      </c>
      <c r="AG32" s="194">
        <v>0.82899999999999996</v>
      </c>
      <c r="AH32" s="194">
        <v>41</v>
      </c>
      <c r="AI32" s="194">
        <v>0.84199999999999997</v>
      </c>
      <c r="AJ32" s="194">
        <v>0.85</v>
      </c>
      <c r="AK32" s="194">
        <v>60</v>
      </c>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row>
    <row r="33" spans="1:61" x14ac:dyDescent="0.3">
      <c r="A33" s="193" t="s">
        <v>446</v>
      </c>
      <c r="B33" s="194">
        <v>0.92600000000000005</v>
      </c>
      <c r="C33" s="194">
        <v>0.96599999999999997</v>
      </c>
      <c r="D33" s="194">
        <v>29</v>
      </c>
      <c r="E33" s="194">
        <v>0.89300000000000002</v>
      </c>
      <c r="F33" s="194">
        <v>0.88</v>
      </c>
      <c r="G33" s="194">
        <v>25</v>
      </c>
      <c r="H33" s="194">
        <v>0.877</v>
      </c>
      <c r="I33" s="194">
        <v>0.81</v>
      </c>
      <c r="J33" s="194">
        <v>21</v>
      </c>
      <c r="K33" s="194">
        <v>0.84799999999999998</v>
      </c>
      <c r="L33" s="194">
        <v>0.94699999999999995</v>
      </c>
      <c r="M33" s="194">
        <v>19</v>
      </c>
      <c r="N33" s="194">
        <v>0.82599999999999996</v>
      </c>
      <c r="O33" s="194">
        <v>0.80800000000000005</v>
      </c>
      <c r="P33" s="194">
        <v>26</v>
      </c>
      <c r="Q33" s="194">
        <v>0.80500000000000005</v>
      </c>
      <c r="R33" s="194">
        <v>0.75</v>
      </c>
      <c r="S33" s="194">
        <v>24</v>
      </c>
      <c r="T33" s="194">
        <v>0.85199999999999998</v>
      </c>
      <c r="U33" s="194">
        <v>0.85199999999999998</v>
      </c>
      <c r="V33" s="194">
        <v>27</v>
      </c>
      <c r="W33" s="194">
        <v>0.88700000000000001</v>
      </c>
      <c r="X33" s="194">
        <v>0.93300000000000005</v>
      </c>
      <c r="Y33" s="194">
        <v>30</v>
      </c>
      <c r="Z33" s="194">
        <v>0.92400000000000004</v>
      </c>
      <c r="AA33" s="194">
        <v>0.87</v>
      </c>
      <c r="AB33" s="194">
        <v>23</v>
      </c>
      <c r="AC33" s="194">
        <v>0.86799999999999999</v>
      </c>
      <c r="AD33" s="194">
        <v>0.96199999999999997</v>
      </c>
      <c r="AE33" s="194">
        <v>26</v>
      </c>
      <c r="AF33" s="194">
        <v>0.89500000000000002</v>
      </c>
      <c r="AG33" s="194">
        <v>0.77800000000000002</v>
      </c>
      <c r="AH33" s="194">
        <v>27</v>
      </c>
      <c r="AI33" s="194">
        <v>0.86699999999999999</v>
      </c>
      <c r="AJ33" s="194">
        <v>0.93899999999999995</v>
      </c>
      <c r="AK33" s="194">
        <v>33</v>
      </c>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row>
    <row r="34" spans="1:61" x14ac:dyDescent="0.3">
      <c r="A34" s="193" t="s">
        <v>396</v>
      </c>
      <c r="B34" s="194">
        <v>0.68799999999999994</v>
      </c>
      <c r="C34" s="194">
        <v>0.67900000000000005</v>
      </c>
      <c r="D34" s="194">
        <v>28</v>
      </c>
      <c r="E34" s="194">
        <v>0.72399999999999998</v>
      </c>
      <c r="F34" s="194">
        <v>0.7</v>
      </c>
      <c r="G34" s="194">
        <v>20</v>
      </c>
      <c r="H34" s="194">
        <v>0.72599999999999998</v>
      </c>
      <c r="I34" s="194">
        <v>0.76900000000000002</v>
      </c>
      <c r="J34" s="194">
        <v>39</v>
      </c>
      <c r="K34" s="194">
        <v>0.75600000000000001</v>
      </c>
      <c r="L34" s="194">
        <v>0.68</v>
      </c>
      <c r="M34" s="194">
        <v>25</v>
      </c>
      <c r="N34" s="194">
        <v>0.77</v>
      </c>
      <c r="O34" s="194">
        <v>0.80800000000000005</v>
      </c>
      <c r="P34" s="194">
        <v>26</v>
      </c>
      <c r="Q34" s="194">
        <v>0.73299999999999998</v>
      </c>
      <c r="R34" s="194">
        <v>0.82599999999999996</v>
      </c>
      <c r="S34" s="194">
        <v>23</v>
      </c>
      <c r="T34" s="194">
        <v>0.70099999999999996</v>
      </c>
      <c r="U34" s="194">
        <v>0.57699999999999996</v>
      </c>
      <c r="V34" s="194">
        <v>26</v>
      </c>
      <c r="W34" s="194">
        <v>0.66400000000000003</v>
      </c>
      <c r="X34" s="194">
        <v>0.70799999999999996</v>
      </c>
      <c r="Y34" s="194">
        <v>48</v>
      </c>
      <c r="Z34" s="194">
        <v>0.71799999999999997</v>
      </c>
      <c r="AA34" s="194">
        <v>0.66700000000000004</v>
      </c>
      <c r="AB34" s="194">
        <v>33</v>
      </c>
      <c r="AC34" s="194">
        <v>0.71699999999999997</v>
      </c>
      <c r="AD34" s="194">
        <v>0.77800000000000002</v>
      </c>
      <c r="AE34" s="194">
        <v>36</v>
      </c>
      <c r="AF34" s="194">
        <v>0.74</v>
      </c>
      <c r="AG34" s="194">
        <v>0.7</v>
      </c>
      <c r="AH34" s="194">
        <v>30</v>
      </c>
      <c r="AI34" s="194">
        <v>0.72099999999999997</v>
      </c>
      <c r="AJ34" s="194">
        <v>0.73699999999999999</v>
      </c>
      <c r="AK34" s="194">
        <v>38</v>
      </c>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row>
    <row r="35" spans="1:61" x14ac:dyDescent="0.3">
      <c r="A35" s="193" t="s">
        <v>272</v>
      </c>
      <c r="B35" s="194">
        <v>0.16700000000000001</v>
      </c>
      <c r="C35" s="194">
        <v>0.28599999999999998</v>
      </c>
      <c r="D35" s="194">
        <v>7</v>
      </c>
      <c r="E35" s="194">
        <v>0.108</v>
      </c>
      <c r="F35" s="194">
        <v>9.0999999999999998E-2</v>
      </c>
      <c r="G35" s="194">
        <v>11</v>
      </c>
      <c r="H35" s="194">
        <v>0.10299999999999999</v>
      </c>
      <c r="I35" s="194">
        <v>5.2999999999999999E-2</v>
      </c>
      <c r="J35" s="194">
        <v>19</v>
      </c>
      <c r="K35" s="194">
        <v>7.4999999999999997E-2</v>
      </c>
      <c r="L35" s="194">
        <v>0.222</v>
      </c>
      <c r="M35" s="194">
        <v>9</v>
      </c>
      <c r="N35" s="194">
        <v>7.0999999999999994E-2</v>
      </c>
      <c r="O35" s="194">
        <v>0</v>
      </c>
      <c r="P35" s="194">
        <v>12</v>
      </c>
      <c r="Q35" s="194">
        <v>5.3999999999999999E-2</v>
      </c>
      <c r="R35" s="194">
        <v>4.8000000000000001E-2</v>
      </c>
      <c r="S35" s="194">
        <v>21</v>
      </c>
      <c r="T35" s="194">
        <v>0.159</v>
      </c>
      <c r="U35" s="194">
        <v>8.6999999999999994E-2</v>
      </c>
      <c r="V35" s="194">
        <v>23</v>
      </c>
      <c r="W35" s="194">
        <v>0.311</v>
      </c>
      <c r="X35" s="194">
        <v>0.36799999999999999</v>
      </c>
      <c r="Y35" s="194">
        <v>19</v>
      </c>
      <c r="Z35" s="194">
        <v>0.48699999999999999</v>
      </c>
      <c r="AA35" s="194">
        <v>0.438</v>
      </c>
      <c r="AB35" s="194">
        <v>32</v>
      </c>
      <c r="AC35" s="194">
        <v>0.51700000000000002</v>
      </c>
      <c r="AD35" s="194">
        <v>0.63</v>
      </c>
      <c r="AE35" s="194">
        <v>27</v>
      </c>
      <c r="AF35" s="194">
        <v>0.53100000000000003</v>
      </c>
      <c r="AG35" s="194">
        <v>0.5</v>
      </c>
      <c r="AH35" s="194">
        <v>28</v>
      </c>
      <c r="AI35" s="194">
        <v>0.49299999999999999</v>
      </c>
      <c r="AJ35" s="194">
        <v>0.48799999999999999</v>
      </c>
      <c r="AK35" s="194">
        <v>41</v>
      </c>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row>
    <row r="36" spans="1:61" x14ac:dyDescent="0.3">
      <c r="A36" s="193" t="s">
        <v>276</v>
      </c>
      <c r="B36" s="194">
        <v>0.48</v>
      </c>
      <c r="C36" s="194">
        <v>0.4</v>
      </c>
      <c r="D36" s="194">
        <v>15</v>
      </c>
      <c r="E36" s="194">
        <v>0.46899999999999997</v>
      </c>
      <c r="F36" s="194">
        <v>0.6</v>
      </c>
      <c r="G36" s="194">
        <v>10</v>
      </c>
      <c r="H36" s="194">
        <v>0.67900000000000005</v>
      </c>
      <c r="I36" s="194">
        <v>0.42899999999999999</v>
      </c>
      <c r="J36" s="194">
        <v>7</v>
      </c>
      <c r="K36" s="194">
        <v>0.75</v>
      </c>
      <c r="L36" s="194">
        <v>0.90900000000000003</v>
      </c>
      <c r="M36" s="194">
        <v>11</v>
      </c>
      <c r="N36" s="194">
        <v>0.875</v>
      </c>
      <c r="O36" s="194">
        <v>0.8</v>
      </c>
      <c r="P36" s="194">
        <v>10</v>
      </c>
      <c r="Q36" s="194">
        <v>0.86699999999999999</v>
      </c>
      <c r="R36" s="194">
        <v>0.90900000000000003</v>
      </c>
      <c r="S36" s="194">
        <v>11</v>
      </c>
      <c r="T36" s="194">
        <v>0.92900000000000005</v>
      </c>
      <c r="U36" s="194">
        <v>0.88900000000000001</v>
      </c>
      <c r="V36" s="194">
        <v>9</v>
      </c>
      <c r="W36" s="194">
        <v>0.96899999999999997</v>
      </c>
      <c r="X36" s="194">
        <v>1</v>
      </c>
      <c r="Y36" s="194">
        <v>8</v>
      </c>
      <c r="Z36" s="194">
        <v>1</v>
      </c>
      <c r="AA36" s="194">
        <v>1</v>
      </c>
      <c r="AB36" s="194">
        <v>15</v>
      </c>
      <c r="AC36" s="194">
        <v>1</v>
      </c>
      <c r="AD36" s="194">
        <v>1</v>
      </c>
      <c r="AE36" s="194">
        <v>14</v>
      </c>
      <c r="AF36" s="194">
        <v>0.98</v>
      </c>
      <c r="AG36" s="194">
        <v>1</v>
      </c>
      <c r="AH36" s="194">
        <v>23</v>
      </c>
      <c r="AI36" s="194">
        <v>0.97299999999999998</v>
      </c>
      <c r="AJ36" s="194">
        <v>0.92900000000000005</v>
      </c>
      <c r="AK36" s="194">
        <v>14</v>
      </c>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row>
    <row r="37" spans="1:61" x14ac:dyDescent="0.3">
      <c r="A37" s="193" t="s">
        <v>502</v>
      </c>
      <c r="B37" s="194">
        <v>0.152</v>
      </c>
      <c r="C37" s="194">
        <v>0.16700000000000001</v>
      </c>
      <c r="D37" s="194">
        <v>18</v>
      </c>
      <c r="E37" s="194">
        <v>0.151</v>
      </c>
      <c r="F37" s="194">
        <v>0.13300000000000001</v>
      </c>
      <c r="G37" s="194">
        <v>15</v>
      </c>
      <c r="H37" s="194">
        <v>0.14599999999999999</v>
      </c>
      <c r="I37" s="194">
        <v>0.15</v>
      </c>
      <c r="J37" s="194">
        <v>20</v>
      </c>
      <c r="K37" s="194">
        <v>0.156</v>
      </c>
      <c r="L37" s="194">
        <v>0.16700000000000001</v>
      </c>
      <c r="M37" s="194">
        <v>6</v>
      </c>
      <c r="N37" s="194">
        <v>9.5000000000000001E-2</v>
      </c>
      <c r="O37" s="194">
        <v>0.16700000000000001</v>
      </c>
      <c r="P37" s="194">
        <v>6</v>
      </c>
      <c r="Q37" s="194">
        <v>3.6999999999999998E-2</v>
      </c>
      <c r="R37" s="194">
        <v>0</v>
      </c>
      <c r="S37" s="194">
        <v>9</v>
      </c>
      <c r="T37" s="194">
        <v>0.129</v>
      </c>
      <c r="U37" s="194">
        <v>0</v>
      </c>
      <c r="V37" s="194">
        <v>12</v>
      </c>
      <c r="W37" s="194">
        <v>0.188</v>
      </c>
      <c r="X37" s="194">
        <v>0.4</v>
      </c>
      <c r="Y37" s="194">
        <v>10</v>
      </c>
      <c r="Z37" s="194">
        <v>0.36699999999999999</v>
      </c>
      <c r="AA37" s="194">
        <v>0.2</v>
      </c>
      <c r="AB37" s="194">
        <v>10</v>
      </c>
      <c r="AC37" s="194">
        <v>0.5</v>
      </c>
      <c r="AD37" s="194">
        <v>0.5</v>
      </c>
      <c r="AE37" s="194">
        <v>10</v>
      </c>
      <c r="AF37" s="194">
        <v>0.57099999999999995</v>
      </c>
      <c r="AG37" s="194">
        <v>0.8</v>
      </c>
      <c r="AH37" s="194">
        <v>10</v>
      </c>
      <c r="AI37" s="194">
        <v>0.61099999999999999</v>
      </c>
      <c r="AJ37" s="194">
        <v>0.375</v>
      </c>
      <c r="AK37" s="194">
        <v>8</v>
      </c>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row>
    <row r="38" spans="1:61" x14ac:dyDescent="0.3">
      <c r="A38" s="193" t="s">
        <v>314</v>
      </c>
      <c r="B38" s="194">
        <v>0.875</v>
      </c>
      <c r="C38" s="194">
        <v>0.77800000000000002</v>
      </c>
      <c r="D38" s="194">
        <v>9</v>
      </c>
      <c r="E38" s="194">
        <v>0.82399999999999995</v>
      </c>
      <c r="F38" s="194">
        <v>1</v>
      </c>
      <c r="G38" s="194">
        <v>7</v>
      </c>
      <c r="H38" s="194">
        <v>0.83799999999999997</v>
      </c>
      <c r="I38" s="194">
        <v>0.77800000000000002</v>
      </c>
      <c r="J38" s="194">
        <v>18</v>
      </c>
      <c r="K38" s="194">
        <v>0.75</v>
      </c>
      <c r="L38" s="194">
        <v>0.83299999999999996</v>
      </c>
      <c r="M38" s="194">
        <v>12</v>
      </c>
      <c r="N38" s="194">
        <v>0.77400000000000002</v>
      </c>
      <c r="O38" s="194">
        <v>0.6</v>
      </c>
      <c r="P38" s="194">
        <v>10</v>
      </c>
      <c r="Q38" s="194">
        <v>0.82099999999999995</v>
      </c>
      <c r="R38" s="194">
        <v>0.88900000000000001</v>
      </c>
      <c r="S38" s="194">
        <v>9</v>
      </c>
      <c r="T38" s="194">
        <v>0.96799999999999997</v>
      </c>
      <c r="U38" s="194">
        <v>1</v>
      </c>
      <c r="V38" s="194">
        <v>9</v>
      </c>
      <c r="W38" s="194">
        <v>1</v>
      </c>
      <c r="X38" s="194">
        <v>1</v>
      </c>
      <c r="Y38" s="194">
        <v>13</v>
      </c>
      <c r="Z38" s="194">
        <v>0.96899999999999997</v>
      </c>
      <c r="AA38" s="194">
        <v>1</v>
      </c>
      <c r="AB38" s="194">
        <v>8</v>
      </c>
      <c r="AC38" s="194">
        <v>0.96399999999999997</v>
      </c>
      <c r="AD38" s="194">
        <v>0.90900000000000003</v>
      </c>
      <c r="AE38" s="194">
        <v>11</v>
      </c>
      <c r="AF38" s="194">
        <v>0.94899999999999995</v>
      </c>
      <c r="AG38" s="194">
        <v>1</v>
      </c>
      <c r="AH38" s="194">
        <v>9</v>
      </c>
      <c r="AI38" s="194">
        <v>0.96399999999999997</v>
      </c>
      <c r="AJ38" s="194">
        <v>0.94699999999999995</v>
      </c>
      <c r="AK38" s="194">
        <v>19</v>
      </c>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row>
    <row r="39" spans="1:61" x14ac:dyDescent="0.3">
      <c r="A39" s="193" t="s">
        <v>425</v>
      </c>
      <c r="B39" s="194">
        <v>0.89700000000000002</v>
      </c>
      <c r="C39" s="194">
        <v>0.90500000000000003</v>
      </c>
      <c r="D39" s="194">
        <v>21</v>
      </c>
      <c r="E39" s="194">
        <v>0.872</v>
      </c>
      <c r="F39" s="194">
        <v>0.88900000000000001</v>
      </c>
      <c r="G39" s="194">
        <v>18</v>
      </c>
      <c r="H39" s="194">
        <v>0.83699999999999997</v>
      </c>
      <c r="I39" s="194">
        <v>0.75</v>
      </c>
      <c r="J39" s="194">
        <v>8</v>
      </c>
      <c r="K39" s="194">
        <v>0.84199999999999997</v>
      </c>
      <c r="L39" s="194">
        <v>0.82399999999999995</v>
      </c>
      <c r="M39" s="194">
        <v>17</v>
      </c>
      <c r="N39" s="194">
        <v>0.9</v>
      </c>
      <c r="O39" s="194">
        <v>0.92300000000000004</v>
      </c>
      <c r="P39" s="194">
        <v>13</v>
      </c>
      <c r="Q39" s="194">
        <v>0.86199999999999999</v>
      </c>
      <c r="R39" s="194">
        <v>0.95</v>
      </c>
      <c r="S39" s="194">
        <v>20</v>
      </c>
      <c r="T39" s="194">
        <v>0.84099999999999997</v>
      </c>
      <c r="U39" s="194">
        <v>0.76</v>
      </c>
      <c r="V39" s="194">
        <v>25</v>
      </c>
      <c r="W39" s="194">
        <v>0.81899999999999995</v>
      </c>
      <c r="X39" s="194">
        <v>0.83799999999999997</v>
      </c>
      <c r="Y39" s="194">
        <v>37</v>
      </c>
      <c r="Z39" s="194">
        <v>0.82699999999999996</v>
      </c>
      <c r="AA39" s="194">
        <v>0.85699999999999998</v>
      </c>
      <c r="AB39" s="194">
        <v>21</v>
      </c>
      <c r="AC39" s="194">
        <v>0.88100000000000001</v>
      </c>
      <c r="AD39" s="194">
        <v>0.78300000000000003</v>
      </c>
      <c r="AE39" s="194">
        <v>23</v>
      </c>
      <c r="AF39" s="194">
        <v>0.91</v>
      </c>
      <c r="AG39" s="194">
        <v>1</v>
      </c>
      <c r="AH39" s="194">
        <v>23</v>
      </c>
      <c r="AI39" s="194">
        <v>0.96399999999999997</v>
      </c>
      <c r="AJ39" s="194">
        <v>0.93799999999999994</v>
      </c>
      <c r="AK39" s="194">
        <v>32</v>
      </c>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row>
    <row r="40" spans="1:61" x14ac:dyDescent="0.3">
      <c r="A40" s="193" t="s">
        <v>380</v>
      </c>
      <c r="B40" s="194">
        <v>0.61499999999999999</v>
      </c>
      <c r="C40" s="194">
        <v>0.83299999999999996</v>
      </c>
      <c r="D40" s="194">
        <v>6</v>
      </c>
      <c r="E40" s="194">
        <v>0.58799999999999997</v>
      </c>
      <c r="F40" s="194">
        <v>0.42899999999999999</v>
      </c>
      <c r="G40" s="194">
        <v>7</v>
      </c>
      <c r="H40" s="194">
        <v>0.46200000000000002</v>
      </c>
      <c r="I40" s="194">
        <v>0.5</v>
      </c>
      <c r="J40" s="194">
        <v>4</v>
      </c>
      <c r="K40" s="194">
        <v>0.66700000000000004</v>
      </c>
      <c r="L40" s="194">
        <v>0.5</v>
      </c>
      <c r="M40" s="194">
        <v>2</v>
      </c>
      <c r="N40" s="194">
        <v>0.8</v>
      </c>
      <c r="O40" s="194">
        <v>1</v>
      </c>
      <c r="P40" s="194">
        <v>3</v>
      </c>
      <c r="Q40" s="194">
        <v>0.83299999999999996</v>
      </c>
      <c r="R40" s="194"/>
      <c r="S40" s="194"/>
      <c r="T40" s="194">
        <v>0.78600000000000003</v>
      </c>
      <c r="U40" s="194">
        <v>0.77800000000000002</v>
      </c>
      <c r="V40" s="194">
        <v>9</v>
      </c>
      <c r="W40" s="194">
        <v>0.85</v>
      </c>
      <c r="X40" s="194">
        <v>0.8</v>
      </c>
      <c r="Y40" s="194">
        <v>5</v>
      </c>
      <c r="Z40" s="194">
        <v>0.85</v>
      </c>
      <c r="AA40" s="194">
        <v>1</v>
      </c>
      <c r="AB40" s="194">
        <v>6</v>
      </c>
      <c r="AC40" s="194">
        <v>0.78900000000000003</v>
      </c>
      <c r="AD40" s="194">
        <v>0.77800000000000002</v>
      </c>
      <c r="AE40" s="194">
        <v>9</v>
      </c>
      <c r="AF40" s="194">
        <v>0.66700000000000004</v>
      </c>
      <c r="AG40" s="194">
        <v>0.5</v>
      </c>
      <c r="AH40" s="194">
        <v>4</v>
      </c>
      <c r="AI40" s="194">
        <v>0.6</v>
      </c>
      <c r="AJ40" s="194">
        <v>0.63600000000000001</v>
      </c>
      <c r="AK40" s="194">
        <v>11</v>
      </c>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row>
    <row r="41" spans="1:61" x14ac:dyDescent="0.3">
      <c r="A41" s="193" t="s">
        <v>542</v>
      </c>
      <c r="B41" s="194">
        <v>0.88200000000000001</v>
      </c>
      <c r="C41" s="194">
        <v>0.83299999999999996</v>
      </c>
      <c r="D41" s="194">
        <v>12</v>
      </c>
      <c r="E41" s="194">
        <v>0.86399999999999999</v>
      </c>
      <c r="F41" s="194">
        <v>1</v>
      </c>
      <c r="G41" s="194">
        <v>5</v>
      </c>
      <c r="H41" s="194">
        <v>0.88200000000000001</v>
      </c>
      <c r="I41" s="194">
        <v>0.8</v>
      </c>
      <c r="J41" s="194">
        <v>5</v>
      </c>
      <c r="K41" s="194">
        <v>0.82399999999999995</v>
      </c>
      <c r="L41" s="194">
        <v>0.85699999999999998</v>
      </c>
      <c r="M41" s="194">
        <v>7</v>
      </c>
      <c r="N41" s="194">
        <v>0.78300000000000003</v>
      </c>
      <c r="O41" s="194">
        <v>0.8</v>
      </c>
      <c r="P41" s="194">
        <v>5</v>
      </c>
      <c r="Q41" s="194">
        <v>0.80800000000000005</v>
      </c>
      <c r="R41" s="194">
        <v>0.72699999999999998</v>
      </c>
      <c r="S41" s="194">
        <v>11</v>
      </c>
      <c r="T41" s="194">
        <v>0.80800000000000005</v>
      </c>
      <c r="U41" s="194">
        <v>0.9</v>
      </c>
      <c r="V41" s="194">
        <v>10</v>
      </c>
      <c r="W41" s="194">
        <v>0.81</v>
      </c>
      <c r="X41" s="194">
        <v>0.8</v>
      </c>
      <c r="Y41" s="194">
        <v>5</v>
      </c>
      <c r="Z41" s="194">
        <v>0.68400000000000005</v>
      </c>
      <c r="AA41" s="194">
        <v>0.66700000000000004</v>
      </c>
      <c r="AB41" s="194">
        <v>6</v>
      </c>
      <c r="AC41" s="194">
        <v>0.78300000000000003</v>
      </c>
      <c r="AD41" s="194">
        <v>0.625</v>
      </c>
      <c r="AE41" s="194">
        <v>8</v>
      </c>
      <c r="AF41" s="194">
        <v>0.88</v>
      </c>
      <c r="AG41" s="194">
        <v>1</v>
      </c>
      <c r="AH41" s="194">
        <v>9</v>
      </c>
      <c r="AI41" s="194">
        <v>1</v>
      </c>
      <c r="AJ41" s="194">
        <v>1</v>
      </c>
      <c r="AK41" s="194">
        <v>8</v>
      </c>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row>
    <row r="42" spans="1:61" x14ac:dyDescent="0.3">
      <c r="A42" s="193" t="s">
        <v>306</v>
      </c>
      <c r="B42" s="194">
        <v>0.76400000000000001</v>
      </c>
      <c r="C42" s="194">
        <v>0.73199999999999998</v>
      </c>
      <c r="D42" s="194">
        <v>41</v>
      </c>
      <c r="E42" s="194">
        <v>0.80200000000000005</v>
      </c>
      <c r="F42" s="194">
        <v>0.80600000000000005</v>
      </c>
      <c r="G42" s="194">
        <v>31</v>
      </c>
      <c r="H42" s="194">
        <v>0.82199999999999995</v>
      </c>
      <c r="I42" s="194">
        <v>0.88200000000000001</v>
      </c>
      <c r="J42" s="194">
        <v>34</v>
      </c>
      <c r="K42" s="194">
        <v>0.81499999999999995</v>
      </c>
      <c r="L42" s="194">
        <v>0.76</v>
      </c>
      <c r="M42" s="194">
        <v>25</v>
      </c>
      <c r="N42" s="194">
        <v>0.78800000000000003</v>
      </c>
      <c r="O42" s="194">
        <v>0.77300000000000002</v>
      </c>
      <c r="P42" s="194">
        <v>22</v>
      </c>
      <c r="Q42" s="194">
        <v>0.68799999999999994</v>
      </c>
      <c r="R42" s="194">
        <v>0.81799999999999995</v>
      </c>
      <c r="S42" s="194">
        <v>33</v>
      </c>
      <c r="T42" s="194">
        <v>0.629</v>
      </c>
      <c r="U42" s="194">
        <v>0.53700000000000003</v>
      </c>
      <c r="V42" s="194">
        <v>41</v>
      </c>
      <c r="W42" s="194">
        <v>0.51</v>
      </c>
      <c r="X42" s="194">
        <v>0.54800000000000004</v>
      </c>
      <c r="Y42" s="194">
        <v>31</v>
      </c>
      <c r="Z42" s="194">
        <v>0.57299999999999995</v>
      </c>
      <c r="AA42" s="194">
        <v>0.42299999999999999</v>
      </c>
      <c r="AB42" s="194">
        <v>26</v>
      </c>
      <c r="AC42" s="194">
        <v>0.625</v>
      </c>
      <c r="AD42" s="194">
        <v>0.69199999999999995</v>
      </c>
      <c r="AE42" s="194">
        <v>39</v>
      </c>
      <c r="AF42" s="194">
        <v>0.65500000000000003</v>
      </c>
      <c r="AG42" s="194">
        <v>0.69199999999999995</v>
      </c>
      <c r="AH42" s="194">
        <v>39</v>
      </c>
      <c r="AI42" s="194">
        <v>0.63700000000000001</v>
      </c>
      <c r="AJ42" s="194">
        <v>0.58499999999999996</v>
      </c>
      <c r="AK42" s="194">
        <v>41</v>
      </c>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row>
    <row r="43" spans="1:61" x14ac:dyDescent="0.3">
      <c r="A43" s="193" t="s">
        <v>468</v>
      </c>
      <c r="B43" s="194">
        <v>0.79700000000000004</v>
      </c>
      <c r="C43" s="194">
        <v>0.86199999999999999</v>
      </c>
      <c r="D43" s="194">
        <v>29</v>
      </c>
      <c r="E43" s="194">
        <v>0.8</v>
      </c>
      <c r="F43" s="194">
        <v>0.73299999999999998</v>
      </c>
      <c r="G43" s="194">
        <v>30</v>
      </c>
      <c r="H43" s="194">
        <v>0.73799999999999999</v>
      </c>
      <c r="I43" s="194">
        <v>0.80800000000000005</v>
      </c>
      <c r="J43" s="194">
        <v>26</v>
      </c>
      <c r="K43" s="194">
        <v>0.68799999999999994</v>
      </c>
      <c r="L43" s="194">
        <v>0.66700000000000004</v>
      </c>
      <c r="M43" s="194">
        <v>24</v>
      </c>
      <c r="N43" s="194">
        <v>0.68500000000000005</v>
      </c>
      <c r="O43" s="194">
        <v>0.59299999999999997</v>
      </c>
      <c r="P43" s="194">
        <v>27</v>
      </c>
      <c r="Q43" s="194">
        <v>0.64</v>
      </c>
      <c r="R43" s="194">
        <v>0.81799999999999995</v>
      </c>
      <c r="S43" s="194">
        <v>22</v>
      </c>
      <c r="T43" s="194">
        <v>0.67500000000000004</v>
      </c>
      <c r="U43" s="194">
        <v>0.56799999999999995</v>
      </c>
      <c r="V43" s="194">
        <v>37</v>
      </c>
      <c r="W43" s="194">
        <v>0.58899999999999997</v>
      </c>
      <c r="X43" s="194">
        <v>0.71399999999999997</v>
      </c>
      <c r="Y43" s="194">
        <v>21</v>
      </c>
      <c r="Z43" s="194">
        <v>0.48399999999999999</v>
      </c>
      <c r="AA43" s="194">
        <v>0.54100000000000004</v>
      </c>
      <c r="AB43" s="194">
        <v>37</v>
      </c>
      <c r="AC43" s="194">
        <v>0.40600000000000003</v>
      </c>
      <c r="AD43" s="194">
        <v>0.28599999999999998</v>
      </c>
      <c r="AE43" s="194">
        <v>35</v>
      </c>
      <c r="AF43" s="194">
        <v>0.41199999999999998</v>
      </c>
      <c r="AG43" s="194">
        <v>0.38200000000000001</v>
      </c>
      <c r="AH43" s="194">
        <v>34</v>
      </c>
      <c r="AI43" s="194">
        <v>0.46800000000000003</v>
      </c>
      <c r="AJ43" s="194">
        <v>0.53300000000000003</v>
      </c>
      <c r="AK43" s="194">
        <v>45</v>
      </c>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row>
    <row r="44" spans="1:61" x14ac:dyDescent="0.3">
      <c r="A44" s="193" t="s">
        <v>448</v>
      </c>
      <c r="B44" s="194">
        <v>0.434</v>
      </c>
      <c r="C44" s="194">
        <v>0.55600000000000005</v>
      </c>
      <c r="D44" s="194">
        <v>27</v>
      </c>
      <c r="E44" s="194">
        <v>0.443</v>
      </c>
      <c r="F44" s="194">
        <v>0.308</v>
      </c>
      <c r="G44" s="194">
        <v>26</v>
      </c>
      <c r="H44" s="194">
        <v>0.435</v>
      </c>
      <c r="I44" s="194">
        <v>0.45700000000000002</v>
      </c>
      <c r="J44" s="194">
        <v>35</v>
      </c>
      <c r="K44" s="194">
        <v>0.49399999999999999</v>
      </c>
      <c r="L44" s="194">
        <v>0.54200000000000004</v>
      </c>
      <c r="M44" s="194">
        <v>24</v>
      </c>
      <c r="N44" s="194">
        <v>0.55900000000000005</v>
      </c>
      <c r="O44" s="194">
        <v>0.5</v>
      </c>
      <c r="P44" s="194">
        <v>26</v>
      </c>
      <c r="Q44" s="194">
        <v>0.50800000000000001</v>
      </c>
      <c r="R44" s="194">
        <v>0.66700000000000004</v>
      </c>
      <c r="S44" s="194">
        <v>18</v>
      </c>
      <c r="T44" s="194">
        <v>0.50800000000000001</v>
      </c>
      <c r="U44" s="194">
        <v>0.38100000000000001</v>
      </c>
      <c r="V44" s="194">
        <v>21</v>
      </c>
      <c r="W44" s="194">
        <v>0.50700000000000001</v>
      </c>
      <c r="X44" s="194">
        <v>0.5</v>
      </c>
      <c r="Y44" s="194">
        <v>22</v>
      </c>
      <c r="Z44" s="194">
        <v>0.52500000000000002</v>
      </c>
      <c r="AA44" s="194">
        <v>0.59399999999999997</v>
      </c>
      <c r="AB44" s="194">
        <v>32</v>
      </c>
      <c r="AC44" s="194">
        <v>0.48499999999999999</v>
      </c>
      <c r="AD44" s="194">
        <v>0.46200000000000002</v>
      </c>
      <c r="AE44" s="194">
        <v>26</v>
      </c>
      <c r="AF44" s="194">
        <v>0.375</v>
      </c>
      <c r="AG44" s="194">
        <v>0.41899999999999998</v>
      </c>
      <c r="AH44" s="194">
        <v>43</v>
      </c>
      <c r="AI44" s="194">
        <v>0.33900000000000002</v>
      </c>
      <c r="AJ44" s="194">
        <v>0.158</v>
      </c>
      <c r="AK44" s="194">
        <v>19</v>
      </c>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row>
    <row r="45" spans="1:61" x14ac:dyDescent="0.3">
      <c r="A45" s="193" t="s">
        <v>516</v>
      </c>
      <c r="B45" s="194">
        <v>0.92</v>
      </c>
      <c r="C45" s="194">
        <v>0.93</v>
      </c>
      <c r="D45" s="194">
        <v>43</v>
      </c>
      <c r="E45" s="194">
        <v>0.92</v>
      </c>
      <c r="F45" s="194">
        <v>0.90600000000000003</v>
      </c>
      <c r="G45" s="194">
        <v>32</v>
      </c>
      <c r="H45" s="194">
        <v>0.89100000000000001</v>
      </c>
      <c r="I45" s="194">
        <v>0.92</v>
      </c>
      <c r="J45" s="194">
        <v>25</v>
      </c>
      <c r="K45" s="194">
        <v>0.92200000000000004</v>
      </c>
      <c r="L45" s="194">
        <v>0.85699999999999998</v>
      </c>
      <c r="M45" s="194">
        <v>35</v>
      </c>
      <c r="N45" s="194">
        <v>0.92200000000000004</v>
      </c>
      <c r="O45" s="194">
        <v>1</v>
      </c>
      <c r="P45" s="194">
        <v>30</v>
      </c>
      <c r="Q45" s="194">
        <v>0.92400000000000004</v>
      </c>
      <c r="R45" s="194">
        <v>0.92100000000000004</v>
      </c>
      <c r="S45" s="194">
        <v>38</v>
      </c>
      <c r="T45" s="194">
        <v>0.91900000000000004</v>
      </c>
      <c r="U45" s="194">
        <v>0.83299999999999996</v>
      </c>
      <c r="V45" s="194">
        <v>24</v>
      </c>
      <c r="W45" s="194">
        <v>0.94599999999999995</v>
      </c>
      <c r="X45" s="194">
        <v>1</v>
      </c>
      <c r="Y45" s="194">
        <v>24</v>
      </c>
      <c r="Z45" s="194">
        <v>1</v>
      </c>
      <c r="AA45" s="194">
        <v>1</v>
      </c>
      <c r="AB45" s="194">
        <v>26</v>
      </c>
      <c r="AC45" s="194">
        <v>1</v>
      </c>
      <c r="AD45" s="194">
        <v>1</v>
      </c>
      <c r="AE45" s="194">
        <v>24</v>
      </c>
      <c r="AF45" s="194">
        <v>1</v>
      </c>
      <c r="AG45" s="194">
        <v>1</v>
      </c>
      <c r="AH45" s="194">
        <v>31</v>
      </c>
      <c r="AI45" s="194">
        <v>1</v>
      </c>
      <c r="AJ45" s="194">
        <v>1</v>
      </c>
      <c r="AK45" s="194">
        <v>22</v>
      </c>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row>
    <row r="46" spans="1:61" x14ac:dyDescent="0.3">
      <c r="A46" s="193" t="s">
        <v>462</v>
      </c>
      <c r="B46" s="194">
        <v>0.13900000000000001</v>
      </c>
      <c r="C46" s="194">
        <v>0.05</v>
      </c>
      <c r="D46" s="194">
        <v>20</v>
      </c>
      <c r="E46" s="194">
        <v>0.129</v>
      </c>
      <c r="F46" s="194">
        <v>0.25</v>
      </c>
      <c r="G46" s="194">
        <v>16</v>
      </c>
      <c r="H46" s="194">
        <v>0.111</v>
      </c>
      <c r="I46" s="194">
        <v>0.115</v>
      </c>
      <c r="J46" s="194">
        <v>26</v>
      </c>
      <c r="K46" s="194">
        <v>9.4E-2</v>
      </c>
      <c r="L46" s="194">
        <v>0</v>
      </c>
      <c r="M46" s="194">
        <v>21</v>
      </c>
      <c r="N46" s="194">
        <v>0.1</v>
      </c>
      <c r="O46" s="194">
        <v>0.17599999999999999</v>
      </c>
      <c r="P46" s="194">
        <v>17</v>
      </c>
      <c r="Q46" s="194">
        <v>0.104</v>
      </c>
      <c r="R46" s="194">
        <v>0.125</v>
      </c>
      <c r="S46" s="194">
        <v>32</v>
      </c>
      <c r="T46" s="194">
        <v>0.13200000000000001</v>
      </c>
      <c r="U46" s="194">
        <v>3.5999999999999997E-2</v>
      </c>
      <c r="V46" s="194">
        <v>28</v>
      </c>
      <c r="W46" s="194">
        <v>0.183</v>
      </c>
      <c r="X46" s="194">
        <v>0.22600000000000001</v>
      </c>
      <c r="Y46" s="194">
        <v>31</v>
      </c>
      <c r="Z46" s="194">
        <v>0.27800000000000002</v>
      </c>
      <c r="AA46" s="194">
        <v>0.30399999999999999</v>
      </c>
      <c r="AB46" s="194">
        <v>23</v>
      </c>
      <c r="AC46" s="194">
        <v>0.28599999999999998</v>
      </c>
      <c r="AD46" s="194">
        <v>0.32</v>
      </c>
      <c r="AE46" s="194">
        <v>25</v>
      </c>
      <c r="AF46" s="194">
        <v>0.24099999999999999</v>
      </c>
      <c r="AG46" s="194">
        <v>0.24099999999999999</v>
      </c>
      <c r="AH46" s="194">
        <v>29</v>
      </c>
      <c r="AI46" s="194">
        <v>0.20399999999999999</v>
      </c>
      <c r="AJ46" s="194">
        <v>0.16</v>
      </c>
      <c r="AK46" s="194">
        <v>25</v>
      </c>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row>
    <row r="47" spans="1:61" x14ac:dyDescent="0.3">
      <c r="A47" s="193" t="s">
        <v>442</v>
      </c>
      <c r="B47" s="194">
        <v>0.53700000000000003</v>
      </c>
      <c r="C47" s="194">
        <v>0.53300000000000003</v>
      </c>
      <c r="D47" s="194">
        <v>15</v>
      </c>
      <c r="E47" s="194">
        <v>0.50800000000000001</v>
      </c>
      <c r="F47" s="194">
        <v>0.53800000000000003</v>
      </c>
      <c r="G47" s="194">
        <v>26</v>
      </c>
      <c r="H47" s="194">
        <v>0.54700000000000004</v>
      </c>
      <c r="I47" s="194">
        <v>0.45</v>
      </c>
      <c r="J47" s="194">
        <v>20</v>
      </c>
      <c r="K47" s="194">
        <v>0.52</v>
      </c>
      <c r="L47" s="194">
        <v>0.66700000000000004</v>
      </c>
      <c r="M47" s="194">
        <v>18</v>
      </c>
      <c r="N47" s="194">
        <v>0.48899999999999999</v>
      </c>
      <c r="O47" s="194">
        <v>0.41699999999999998</v>
      </c>
      <c r="P47" s="194">
        <v>12</v>
      </c>
      <c r="Q47" s="194">
        <v>0.46</v>
      </c>
      <c r="R47" s="194">
        <v>0.33300000000000002</v>
      </c>
      <c r="S47" s="194">
        <v>15</v>
      </c>
      <c r="T47" s="194">
        <v>0.60699999999999998</v>
      </c>
      <c r="U47" s="194">
        <v>0.56499999999999995</v>
      </c>
      <c r="V47" s="194">
        <v>23</v>
      </c>
      <c r="W47" s="194">
        <v>0.76100000000000001</v>
      </c>
      <c r="X47" s="194">
        <v>0.82599999999999996</v>
      </c>
      <c r="Y47" s="194">
        <v>23</v>
      </c>
      <c r="Z47" s="194">
        <v>0.86399999999999999</v>
      </c>
      <c r="AA47" s="194">
        <v>0.90500000000000003</v>
      </c>
      <c r="AB47" s="194">
        <v>21</v>
      </c>
      <c r="AC47" s="194">
        <v>0.92200000000000004</v>
      </c>
      <c r="AD47" s="194">
        <v>0.86699999999999999</v>
      </c>
      <c r="AE47" s="194">
        <v>15</v>
      </c>
      <c r="AF47" s="194">
        <v>0.88900000000000001</v>
      </c>
      <c r="AG47" s="194">
        <v>1</v>
      </c>
      <c r="AH47" s="194">
        <v>15</v>
      </c>
      <c r="AI47" s="194">
        <v>0.89700000000000002</v>
      </c>
      <c r="AJ47" s="194">
        <v>0.83299999999999996</v>
      </c>
      <c r="AK47" s="194">
        <v>24</v>
      </c>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row>
    <row r="48" spans="1:61" x14ac:dyDescent="0.3">
      <c r="A48" s="193" t="s">
        <v>444</v>
      </c>
      <c r="B48" s="194">
        <v>0.42199999999999999</v>
      </c>
      <c r="C48" s="194">
        <v>0.34499999999999997</v>
      </c>
      <c r="D48" s="194">
        <v>29</v>
      </c>
      <c r="E48" s="194">
        <v>0.39400000000000002</v>
      </c>
      <c r="F48" s="194">
        <v>0.56299999999999994</v>
      </c>
      <c r="G48" s="194">
        <v>16</v>
      </c>
      <c r="H48" s="194">
        <v>0.44800000000000001</v>
      </c>
      <c r="I48" s="194">
        <v>0.33300000000000002</v>
      </c>
      <c r="J48" s="194">
        <v>21</v>
      </c>
      <c r="K48" s="194">
        <v>0.36399999999999999</v>
      </c>
      <c r="L48" s="194">
        <v>0.47599999999999998</v>
      </c>
      <c r="M48" s="194">
        <v>21</v>
      </c>
      <c r="N48" s="194">
        <v>0.42599999999999999</v>
      </c>
      <c r="O48" s="194">
        <v>0.29199999999999998</v>
      </c>
      <c r="P48" s="194">
        <v>24</v>
      </c>
      <c r="Q48" s="194">
        <v>0.46300000000000002</v>
      </c>
      <c r="R48" s="194">
        <v>0.52200000000000002</v>
      </c>
      <c r="S48" s="194">
        <v>23</v>
      </c>
      <c r="T48" s="194">
        <v>0.54200000000000004</v>
      </c>
      <c r="U48" s="194">
        <v>0.6</v>
      </c>
      <c r="V48" s="194">
        <v>20</v>
      </c>
      <c r="W48" s="194">
        <v>0.59299999999999997</v>
      </c>
      <c r="X48" s="194">
        <v>0.5</v>
      </c>
      <c r="Y48" s="194">
        <v>16</v>
      </c>
      <c r="Z48" s="194">
        <v>0.60399999999999998</v>
      </c>
      <c r="AA48" s="194">
        <v>0.66700000000000004</v>
      </c>
      <c r="AB48" s="194">
        <v>18</v>
      </c>
      <c r="AC48" s="194">
        <v>0.60499999999999998</v>
      </c>
      <c r="AD48" s="194">
        <v>0.64300000000000002</v>
      </c>
      <c r="AE48" s="194">
        <v>14</v>
      </c>
      <c r="AF48" s="194">
        <v>0.51100000000000001</v>
      </c>
      <c r="AG48" s="194">
        <v>0.45500000000000002</v>
      </c>
      <c r="AH48" s="194">
        <v>11</v>
      </c>
      <c r="AI48" s="194">
        <v>0.45500000000000002</v>
      </c>
      <c r="AJ48" s="194">
        <v>0.45500000000000002</v>
      </c>
      <c r="AK48" s="194">
        <v>22</v>
      </c>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row>
    <row r="49" spans="1:61" x14ac:dyDescent="0.3">
      <c r="A49" s="193" t="s">
        <v>364</v>
      </c>
      <c r="B49" s="194">
        <v>0.14599999999999999</v>
      </c>
      <c r="C49" s="194">
        <v>0.105</v>
      </c>
      <c r="D49" s="194">
        <v>19</v>
      </c>
      <c r="E49" s="194">
        <v>0.13100000000000001</v>
      </c>
      <c r="F49" s="194">
        <v>0.182</v>
      </c>
      <c r="G49" s="194">
        <v>22</v>
      </c>
      <c r="H49" s="194">
        <v>0.13800000000000001</v>
      </c>
      <c r="I49" s="194">
        <v>0.1</v>
      </c>
      <c r="J49" s="194">
        <v>20</v>
      </c>
      <c r="K49" s="194">
        <v>8.5999999999999993E-2</v>
      </c>
      <c r="L49" s="194">
        <v>0.125</v>
      </c>
      <c r="M49" s="194">
        <v>16</v>
      </c>
      <c r="N49" s="194">
        <v>6.3E-2</v>
      </c>
      <c r="O49" s="194">
        <v>4.4999999999999998E-2</v>
      </c>
      <c r="P49" s="194">
        <v>22</v>
      </c>
      <c r="Q49" s="194">
        <v>0.16</v>
      </c>
      <c r="R49" s="194">
        <v>0.04</v>
      </c>
      <c r="S49" s="194">
        <v>25</v>
      </c>
      <c r="T49" s="194">
        <v>0.21</v>
      </c>
      <c r="U49" s="194">
        <v>0.35699999999999998</v>
      </c>
      <c r="V49" s="194">
        <v>28</v>
      </c>
      <c r="W49" s="194">
        <v>0.22600000000000001</v>
      </c>
      <c r="X49" s="194">
        <v>0.214</v>
      </c>
      <c r="Y49" s="194">
        <v>28</v>
      </c>
      <c r="Z49" s="194">
        <v>0.188</v>
      </c>
      <c r="AA49" s="194">
        <v>0.107</v>
      </c>
      <c r="AB49" s="194">
        <v>28</v>
      </c>
      <c r="AC49" s="194">
        <v>0.34399999999999997</v>
      </c>
      <c r="AD49" s="194">
        <v>0.25</v>
      </c>
      <c r="AE49" s="194">
        <v>24</v>
      </c>
      <c r="AF49" s="194">
        <v>0.46</v>
      </c>
      <c r="AG49" s="194">
        <v>0.57899999999999996</v>
      </c>
      <c r="AH49" s="194">
        <v>38</v>
      </c>
      <c r="AI49" s="194">
        <v>0.54</v>
      </c>
      <c r="AJ49" s="194">
        <v>0.48</v>
      </c>
      <c r="AK49" s="194">
        <v>25</v>
      </c>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row>
    <row r="50" spans="1:61" x14ac:dyDescent="0.3">
      <c r="A50" s="193" t="s">
        <v>392</v>
      </c>
      <c r="B50" s="194">
        <v>0</v>
      </c>
      <c r="C50" s="194">
        <v>0</v>
      </c>
      <c r="D50" s="194">
        <v>9</v>
      </c>
      <c r="E50" s="194">
        <v>0</v>
      </c>
      <c r="F50" s="194">
        <v>0</v>
      </c>
      <c r="G50" s="194">
        <v>10</v>
      </c>
      <c r="H50" s="194">
        <v>0.13600000000000001</v>
      </c>
      <c r="I50" s="194">
        <v>0</v>
      </c>
      <c r="J50" s="194">
        <v>4</v>
      </c>
      <c r="K50" s="194">
        <v>0.17599999999999999</v>
      </c>
      <c r="L50" s="194">
        <v>0.375</v>
      </c>
      <c r="M50" s="194">
        <v>8</v>
      </c>
      <c r="N50" s="194">
        <v>0.2</v>
      </c>
      <c r="O50" s="194">
        <v>0</v>
      </c>
      <c r="P50" s="194">
        <v>5</v>
      </c>
      <c r="Q50" s="194">
        <v>0.25</v>
      </c>
      <c r="R50" s="194">
        <v>0.14299999999999999</v>
      </c>
      <c r="S50" s="194">
        <v>7</v>
      </c>
      <c r="T50" s="194">
        <v>0.36</v>
      </c>
      <c r="U50" s="194">
        <v>0.5</v>
      </c>
      <c r="V50" s="194">
        <v>8</v>
      </c>
      <c r="W50" s="194">
        <v>0.42299999999999999</v>
      </c>
      <c r="X50" s="194">
        <v>0.4</v>
      </c>
      <c r="Y50" s="194">
        <v>10</v>
      </c>
      <c r="Z50" s="194">
        <v>0.36</v>
      </c>
      <c r="AA50" s="194">
        <v>0.375</v>
      </c>
      <c r="AB50" s="194">
        <v>8</v>
      </c>
      <c r="AC50" s="194">
        <v>0.41699999999999998</v>
      </c>
      <c r="AD50" s="194">
        <v>0.28599999999999998</v>
      </c>
      <c r="AE50" s="194">
        <v>7</v>
      </c>
      <c r="AF50" s="194">
        <v>0.44700000000000001</v>
      </c>
      <c r="AG50" s="194">
        <v>0.47599999999999998</v>
      </c>
      <c r="AH50" s="194">
        <v>21</v>
      </c>
      <c r="AI50" s="194">
        <v>0.47499999999999998</v>
      </c>
      <c r="AJ50" s="194">
        <v>0.47399999999999998</v>
      </c>
      <c r="AK50" s="194">
        <v>19</v>
      </c>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row>
    <row r="51" spans="1:61" x14ac:dyDescent="0.3">
      <c r="A51" s="193" t="s">
        <v>325</v>
      </c>
      <c r="B51" s="194">
        <v>0.33300000000000002</v>
      </c>
      <c r="C51" s="194"/>
      <c r="D51" s="194"/>
      <c r="E51" s="194">
        <v>0.16700000000000001</v>
      </c>
      <c r="F51" s="194">
        <v>0.33300000000000002</v>
      </c>
      <c r="G51" s="194">
        <v>3</v>
      </c>
      <c r="H51" s="194">
        <v>0.28599999999999998</v>
      </c>
      <c r="I51" s="194">
        <v>0</v>
      </c>
      <c r="J51" s="194">
        <v>3</v>
      </c>
      <c r="K51" s="194">
        <v>0.42899999999999999</v>
      </c>
      <c r="L51" s="194">
        <v>1</v>
      </c>
      <c r="M51" s="194">
        <v>1</v>
      </c>
      <c r="N51" s="194">
        <v>0.5</v>
      </c>
      <c r="O51" s="194">
        <v>0.66700000000000004</v>
      </c>
      <c r="P51" s="194">
        <v>3</v>
      </c>
      <c r="Q51" s="194">
        <v>0.5</v>
      </c>
      <c r="R51" s="194">
        <v>0.25</v>
      </c>
      <c r="S51" s="194">
        <v>4</v>
      </c>
      <c r="T51" s="194">
        <v>0.375</v>
      </c>
      <c r="U51" s="194">
        <v>0.66700000000000004</v>
      </c>
      <c r="V51" s="194">
        <v>3</v>
      </c>
      <c r="W51" s="194">
        <v>0.33300000000000002</v>
      </c>
      <c r="X51" s="194">
        <v>0</v>
      </c>
      <c r="Y51" s="194">
        <v>1</v>
      </c>
      <c r="Z51" s="194">
        <v>0.16700000000000001</v>
      </c>
      <c r="AA51" s="194">
        <v>0</v>
      </c>
      <c r="AB51" s="194">
        <v>2</v>
      </c>
      <c r="AC51" s="194">
        <v>0.16700000000000001</v>
      </c>
      <c r="AD51" s="194">
        <v>0.33300000000000002</v>
      </c>
      <c r="AE51" s="194">
        <v>3</v>
      </c>
      <c r="AF51" s="194">
        <v>0.5</v>
      </c>
      <c r="AG51" s="194">
        <v>0</v>
      </c>
      <c r="AH51" s="194">
        <v>1</v>
      </c>
      <c r="AI51" s="194">
        <v>0.66700000000000004</v>
      </c>
      <c r="AJ51" s="194">
        <v>1</v>
      </c>
      <c r="AK51" s="194">
        <v>2</v>
      </c>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row>
    <row r="52" spans="1:61" x14ac:dyDescent="0.3">
      <c r="A52" s="193" t="s">
        <v>478</v>
      </c>
      <c r="B52" s="194">
        <v>0.192</v>
      </c>
      <c r="C52" s="194">
        <v>8.3000000000000004E-2</v>
      </c>
      <c r="D52" s="194">
        <v>24</v>
      </c>
      <c r="E52" s="194">
        <v>0.157</v>
      </c>
      <c r="F52" s="194">
        <v>0.28599999999999998</v>
      </c>
      <c r="G52" s="194">
        <v>28</v>
      </c>
      <c r="H52" s="194">
        <v>0.182</v>
      </c>
      <c r="I52" s="194">
        <v>5.6000000000000001E-2</v>
      </c>
      <c r="J52" s="194">
        <v>18</v>
      </c>
      <c r="K52" s="194">
        <v>9.8000000000000004E-2</v>
      </c>
      <c r="L52" s="194">
        <v>0.15</v>
      </c>
      <c r="M52" s="194">
        <v>20</v>
      </c>
      <c r="N52" s="194">
        <v>9.4E-2</v>
      </c>
      <c r="O52" s="194">
        <v>7.6999999999999999E-2</v>
      </c>
      <c r="P52" s="194">
        <v>13</v>
      </c>
      <c r="Q52" s="194">
        <v>5.3999999999999999E-2</v>
      </c>
      <c r="R52" s="194">
        <v>0.05</v>
      </c>
      <c r="S52" s="194">
        <v>20</v>
      </c>
      <c r="T52" s="194">
        <v>6.6000000000000003E-2</v>
      </c>
      <c r="U52" s="194">
        <v>4.2999999999999997E-2</v>
      </c>
      <c r="V52" s="194">
        <v>23</v>
      </c>
      <c r="W52" s="194">
        <v>0.27800000000000002</v>
      </c>
      <c r="X52" s="194">
        <v>0.111</v>
      </c>
      <c r="Y52" s="194">
        <v>18</v>
      </c>
      <c r="Z52" s="194">
        <v>0.623</v>
      </c>
      <c r="AA52" s="194">
        <v>0.92300000000000004</v>
      </c>
      <c r="AB52" s="194">
        <v>13</v>
      </c>
      <c r="AC52" s="194">
        <v>0.79700000000000004</v>
      </c>
      <c r="AD52" s="194">
        <v>0.8</v>
      </c>
      <c r="AE52" s="194">
        <v>30</v>
      </c>
      <c r="AF52" s="194">
        <v>0.83099999999999996</v>
      </c>
      <c r="AG52" s="194">
        <v>0.71399999999999997</v>
      </c>
      <c r="AH52" s="194">
        <v>21</v>
      </c>
      <c r="AI52" s="194">
        <v>0.84899999999999998</v>
      </c>
      <c r="AJ52" s="194">
        <v>0.93799999999999994</v>
      </c>
      <c r="AK52" s="194">
        <v>32</v>
      </c>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row>
    <row r="53" spans="1:61" x14ac:dyDescent="0.3">
      <c r="A53" s="193" t="s">
        <v>474</v>
      </c>
      <c r="B53" s="194">
        <v>0.8</v>
      </c>
      <c r="C53" s="194">
        <v>0.76900000000000002</v>
      </c>
      <c r="D53" s="194">
        <v>13</v>
      </c>
      <c r="E53" s="194">
        <v>0.83299999999999996</v>
      </c>
      <c r="F53" s="194">
        <v>0.83299999999999996</v>
      </c>
      <c r="G53" s="194">
        <v>12</v>
      </c>
      <c r="H53" s="194">
        <v>0.85699999999999998</v>
      </c>
      <c r="I53" s="194">
        <v>0.90900000000000003</v>
      </c>
      <c r="J53" s="194">
        <v>11</v>
      </c>
      <c r="K53" s="194">
        <v>0.73499999999999999</v>
      </c>
      <c r="L53" s="194">
        <v>0.83299999999999996</v>
      </c>
      <c r="M53" s="194">
        <v>12</v>
      </c>
      <c r="N53" s="194">
        <v>0.61299999999999999</v>
      </c>
      <c r="O53" s="194">
        <v>0.45500000000000002</v>
      </c>
      <c r="P53" s="194">
        <v>11</v>
      </c>
      <c r="Q53" s="194">
        <v>0.5</v>
      </c>
      <c r="R53" s="194">
        <v>0.5</v>
      </c>
      <c r="S53" s="194">
        <v>8</v>
      </c>
      <c r="T53" s="194">
        <v>0.5</v>
      </c>
      <c r="U53" s="194">
        <v>0.57099999999999995</v>
      </c>
      <c r="V53" s="194">
        <v>7</v>
      </c>
      <c r="W53" s="194">
        <v>0.51700000000000002</v>
      </c>
      <c r="X53" s="194">
        <v>0.44400000000000001</v>
      </c>
      <c r="Y53" s="194">
        <v>9</v>
      </c>
      <c r="Z53" s="194">
        <v>0.56699999999999995</v>
      </c>
      <c r="AA53" s="194">
        <v>0.53800000000000003</v>
      </c>
      <c r="AB53" s="194">
        <v>13</v>
      </c>
      <c r="AC53" s="194">
        <v>0.66700000000000004</v>
      </c>
      <c r="AD53" s="194">
        <v>0.75</v>
      </c>
      <c r="AE53" s="194">
        <v>8</v>
      </c>
      <c r="AF53" s="194">
        <v>0.69</v>
      </c>
      <c r="AG53" s="194">
        <v>0.77800000000000002</v>
      </c>
      <c r="AH53" s="194">
        <v>9</v>
      </c>
      <c r="AI53" s="194">
        <v>0.66700000000000004</v>
      </c>
      <c r="AJ53" s="194">
        <v>0.58299999999999996</v>
      </c>
      <c r="AK53" s="194">
        <v>12</v>
      </c>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row>
    <row r="54" spans="1:61" x14ac:dyDescent="0.3">
      <c r="A54" s="193" t="s">
        <v>532</v>
      </c>
      <c r="B54" s="194">
        <v>0.85399999999999998</v>
      </c>
      <c r="C54" s="194">
        <v>0.96299999999999997</v>
      </c>
      <c r="D54" s="194">
        <v>27</v>
      </c>
      <c r="E54" s="194">
        <v>0.73899999999999999</v>
      </c>
      <c r="F54" s="194">
        <v>0.71399999999999997</v>
      </c>
      <c r="G54" s="194">
        <v>21</v>
      </c>
      <c r="H54" s="194">
        <v>0.68200000000000005</v>
      </c>
      <c r="I54" s="194">
        <v>0.6</v>
      </c>
      <c r="J54" s="194">
        <v>40</v>
      </c>
      <c r="K54" s="194">
        <v>0.71599999999999997</v>
      </c>
      <c r="L54" s="194">
        <v>0.79200000000000004</v>
      </c>
      <c r="M54" s="194">
        <v>24</v>
      </c>
      <c r="N54" s="194">
        <v>0.877</v>
      </c>
      <c r="O54" s="194">
        <v>0.88200000000000001</v>
      </c>
      <c r="P54" s="194">
        <v>17</v>
      </c>
      <c r="Q54" s="194">
        <v>0.86399999999999999</v>
      </c>
      <c r="R54" s="194">
        <v>0.95799999999999996</v>
      </c>
      <c r="S54" s="194">
        <v>24</v>
      </c>
      <c r="T54" s="194">
        <v>0.82399999999999995</v>
      </c>
      <c r="U54" s="194">
        <v>0.76</v>
      </c>
      <c r="V54" s="194">
        <v>25</v>
      </c>
      <c r="W54" s="194">
        <v>0.71899999999999997</v>
      </c>
      <c r="X54" s="194">
        <v>0.73699999999999999</v>
      </c>
      <c r="Y54" s="194">
        <v>19</v>
      </c>
      <c r="Z54" s="194">
        <v>0.79700000000000004</v>
      </c>
      <c r="AA54" s="194">
        <v>0.61499999999999999</v>
      </c>
      <c r="AB54" s="194">
        <v>13</v>
      </c>
      <c r="AC54" s="194">
        <v>0.8</v>
      </c>
      <c r="AD54" s="194">
        <v>0.92600000000000005</v>
      </c>
      <c r="AE54" s="194">
        <v>27</v>
      </c>
      <c r="AF54" s="194">
        <v>0.85599999999999998</v>
      </c>
      <c r="AG54" s="194">
        <v>0.76700000000000002</v>
      </c>
      <c r="AH54" s="194">
        <v>30</v>
      </c>
      <c r="AI54" s="194">
        <v>0.82499999999999996</v>
      </c>
      <c r="AJ54" s="194">
        <v>0.879</v>
      </c>
      <c r="AK54" s="194">
        <v>33</v>
      </c>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row>
    <row r="55" spans="1:61" x14ac:dyDescent="0.3">
      <c r="A55" s="193" t="s">
        <v>429</v>
      </c>
      <c r="B55" s="194">
        <v>0.22</v>
      </c>
      <c r="C55" s="194">
        <v>0.25</v>
      </c>
      <c r="D55" s="194">
        <v>20</v>
      </c>
      <c r="E55" s="194">
        <v>0.24199999999999999</v>
      </c>
      <c r="F55" s="194">
        <v>0.19</v>
      </c>
      <c r="G55" s="194">
        <v>21</v>
      </c>
      <c r="H55" s="194">
        <v>0.222</v>
      </c>
      <c r="I55" s="194">
        <v>0.28000000000000003</v>
      </c>
      <c r="J55" s="194">
        <v>25</v>
      </c>
      <c r="K55" s="194">
        <v>0.222</v>
      </c>
      <c r="L55" s="194">
        <v>0.17599999999999999</v>
      </c>
      <c r="M55" s="194">
        <v>17</v>
      </c>
      <c r="N55" s="194">
        <v>0.23799999999999999</v>
      </c>
      <c r="O55" s="194">
        <v>0.19</v>
      </c>
      <c r="P55" s="194">
        <v>21</v>
      </c>
      <c r="Q55" s="194">
        <v>0.2</v>
      </c>
      <c r="R55" s="194">
        <v>0.32</v>
      </c>
      <c r="S55" s="194">
        <v>25</v>
      </c>
      <c r="T55" s="194">
        <v>0.16200000000000001</v>
      </c>
      <c r="U55" s="194">
        <v>8.3000000000000004E-2</v>
      </c>
      <c r="V55" s="194">
        <v>24</v>
      </c>
      <c r="W55" s="194">
        <v>6.3E-2</v>
      </c>
      <c r="X55" s="194">
        <v>5.2999999999999999E-2</v>
      </c>
      <c r="Y55" s="194">
        <v>19</v>
      </c>
      <c r="Z55" s="194">
        <v>6.3E-2</v>
      </c>
      <c r="AA55" s="194">
        <v>5.6000000000000001E-2</v>
      </c>
      <c r="AB55" s="194">
        <v>36</v>
      </c>
      <c r="AC55" s="194">
        <v>0.1</v>
      </c>
      <c r="AD55" s="194">
        <v>8.3000000000000004E-2</v>
      </c>
      <c r="AE55" s="194">
        <v>24</v>
      </c>
      <c r="AF55" s="194">
        <v>0.20699999999999999</v>
      </c>
      <c r="AG55" s="194">
        <v>0.16700000000000001</v>
      </c>
      <c r="AH55" s="194">
        <v>30</v>
      </c>
      <c r="AI55" s="194">
        <v>0.254</v>
      </c>
      <c r="AJ55" s="194">
        <v>0.33300000000000002</v>
      </c>
      <c r="AK55" s="194">
        <v>33</v>
      </c>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row>
    <row r="56" spans="1:61" x14ac:dyDescent="0.3">
      <c r="A56" s="193" t="s">
        <v>339</v>
      </c>
      <c r="B56" s="194">
        <v>0.35699999999999998</v>
      </c>
      <c r="C56" s="194">
        <v>0.33300000000000002</v>
      </c>
      <c r="D56" s="194">
        <v>9</v>
      </c>
      <c r="E56" s="194">
        <v>0.316</v>
      </c>
      <c r="F56" s="194">
        <v>0.4</v>
      </c>
      <c r="G56" s="194">
        <v>5</v>
      </c>
      <c r="H56" s="194">
        <v>0.308</v>
      </c>
      <c r="I56" s="194">
        <v>0.2</v>
      </c>
      <c r="J56" s="194">
        <v>5</v>
      </c>
      <c r="K56" s="194">
        <v>0.16700000000000001</v>
      </c>
      <c r="L56" s="194">
        <v>0.33300000000000002</v>
      </c>
      <c r="M56" s="194">
        <v>3</v>
      </c>
      <c r="N56" s="194">
        <v>0.111</v>
      </c>
      <c r="O56" s="194">
        <v>0</v>
      </c>
      <c r="P56" s="194">
        <v>4</v>
      </c>
      <c r="Q56" s="194">
        <v>0</v>
      </c>
      <c r="R56" s="194">
        <v>0</v>
      </c>
      <c r="S56" s="194">
        <v>2</v>
      </c>
      <c r="T56" s="194">
        <v>0.2</v>
      </c>
      <c r="U56" s="194">
        <v>0</v>
      </c>
      <c r="V56" s="194">
        <v>3</v>
      </c>
      <c r="W56" s="194">
        <v>0.438</v>
      </c>
      <c r="X56" s="194">
        <v>0.4</v>
      </c>
      <c r="Y56" s="194">
        <v>5</v>
      </c>
      <c r="Z56" s="194">
        <v>0.44400000000000001</v>
      </c>
      <c r="AA56" s="194">
        <v>0.625</v>
      </c>
      <c r="AB56" s="194">
        <v>8</v>
      </c>
      <c r="AC56" s="194">
        <v>0.29199999999999998</v>
      </c>
      <c r="AD56" s="194">
        <v>0.2</v>
      </c>
      <c r="AE56" s="194">
        <v>5</v>
      </c>
      <c r="AF56" s="194">
        <v>7.3999999999999996E-2</v>
      </c>
      <c r="AG56" s="194">
        <v>9.0999999999999998E-2</v>
      </c>
      <c r="AH56" s="194">
        <v>11</v>
      </c>
      <c r="AI56" s="194">
        <v>4.4999999999999998E-2</v>
      </c>
      <c r="AJ56" s="194">
        <v>0</v>
      </c>
      <c r="AK56" s="194">
        <v>11</v>
      </c>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row>
    <row r="57" spans="1:61" x14ac:dyDescent="0.3">
      <c r="A57" s="193" t="s">
        <v>318</v>
      </c>
      <c r="B57" s="194">
        <v>1</v>
      </c>
      <c r="C57" s="194">
        <v>1</v>
      </c>
      <c r="D57" s="194">
        <v>5</v>
      </c>
      <c r="E57" s="194">
        <v>0.94399999999999995</v>
      </c>
      <c r="F57" s="194">
        <v>1</v>
      </c>
      <c r="G57" s="194">
        <v>7</v>
      </c>
      <c r="H57" s="194">
        <v>0.94399999999999995</v>
      </c>
      <c r="I57" s="194">
        <v>0.83299999999999996</v>
      </c>
      <c r="J57" s="194">
        <v>6</v>
      </c>
      <c r="K57" s="194">
        <v>0.92300000000000004</v>
      </c>
      <c r="L57" s="194">
        <v>1</v>
      </c>
      <c r="M57" s="194">
        <v>5</v>
      </c>
      <c r="N57" s="194">
        <v>0.91300000000000003</v>
      </c>
      <c r="O57" s="194">
        <v>1</v>
      </c>
      <c r="P57" s="194">
        <v>2</v>
      </c>
      <c r="Q57" s="194">
        <v>0.92300000000000004</v>
      </c>
      <c r="R57" s="194">
        <v>0.875</v>
      </c>
      <c r="S57" s="194">
        <v>16</v>
      </c>
      <c r="T57" s="194">
        <v>0.94399999999999995</v>
      </c>
      <c r="U57" s="194">
        <v>1</v>
      </c>
      <c r="V57" s="194">
        <v>8</v>
      </c>
      <c r="W57" s="194">
        <v>0.96299999999999997</v>
      </c>
      <c r="X57" s="194">
        <v>1</v>
      </c>
      <c r="Y57" s="194">
        <v>12</v>
      </c>
      <c r="Z57" s="194">
        <v>0.96699999999999997</v>
      </c>
      <c r="AA57" s="194">
        <v>0.85699999999999998</v>
      </c>
      <c r="AB57" s="194">
        <v>7</v>
      </c>
      <c r="AC57" s="194">
        <v>0.97</v>
      </c>
      <c r="AD57" s="194">
        <v>1</v>
      </c>
      <c r="AE57" s="194">
        <v>11</v>
      </c>
      <c r="AF57" s="194">
        <v>1</v>
      </c>
      <c r="AG57" s="194">
        <v>1</v>
      </c>
      <c r="AH57" s="194">
        <v>15</v>
      </c>
      <c r="AI57" s="194">
        <v>1</v>
      </c>
      <c r="AJ57" s="194">
        <v>1</v>
      </c>
      <c r="AK57" s="194">
        <v>9</v>
      </c>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row>
    <row r="58" spans="1:61" x14ac:dyDescent="0.3">
      <c r="A58" s="193" t="s">
        <v>384</v>
      </c>
      <c r="B58" s="194">
        <v>0.76300000000000001</v>
      </c>
      <c r="C58" s="194">
        <v>0.88</v>
      </c>
      <c r="D58" s="194">
        <v>25</v>
      </c>
      <c r="E58" s="194">
        <v>0.76100000000000001</v>
      </c>
      <c r="F58" s="194">
        <v>0.67600000000000005</v>
      </c>
      <c r="G58" s="194">
        <v>34</v>
      </c>
      <c r="H58" s="194">
        <v>0.72899999999999998</v>
      </c>
      <c r="I58" s="194">
        <v>0.75900000000000001</v>
      </c>
      <c r="J58" s="194">
        <v>29</v>
      </c>
      <c r="K58" s="194">
        <v>0.73599999999999999</v>
      </c>
      <c r="L58" s="194">
        <v>0.77300000000000002</v>
      </c>
      <c r="M58" s="194">
        <v>22</v>
      </c>
      <c r="N58" s="194">
        <v>0.76100000000000001</v>
      </c>
      <c r="O58" s="194">
        <v>0.66700000000000004</v>
      </c>
      <c r="P58" s="194">
        <v>21</v>
      </c>
      <c r="Q58" s="194">
        <v>0.753</v>
      </c>
      <c r="R58" s="194">
        <v>0.83299999999999996</v>
      </c>
      <c r="S58" s="194">
        <v>24</v>
      </c>
      <c r="T58" s="194">
        <v>0.753</v>
      </c>
      <c r="U58" s="194">
        <v>0.75</v>
      </c>
      <c r="V58" s="194">
        <v>28</v>
      </c>
      <c r="W58" s="194">
        <v>0.76600000000000001</v>
      </c>
      <c r="X58" s="194">
        <v>0.68</v>
      </c>
      <c r="Y58" s="194">
        <v>25</v>
      </c>
      <c r="Z58" s="194">
        <v>0.80300000000000005</v>
      </c>
      <c r="AA58" s="194">
        <v>0.875</v>
      </c>
      <c r="AB58" s="194">
        <v>24</v>
      </c>
      <c r="AC58" s="194">
        <v>0.746</v>
      </c>
      <c r="AD58" s="194">
        <v>0.85199999999999998</v>
      </c>
      <c r="AE58" s="194">
        <v>27</v>
      </c>
      <c r="AF58" s="194">
        <v>0.60799999999999998</v>
      </c>
      <c r="AG58" s="194">
        <v>0.25</v>
      </c>
      <c r="AH58" s="194">
        <v>12</v>
      </c>
      <c r="AI58" s="194">
        <v>0.33300000000000002</v>
      </c>
      <c r="AJ58" s="194">
        <v>0.41699999999999998</v>
      </c>
      <c r="AK58" s="194">
        <v>12</v>
      </c>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row>
    <row r="59" spans="1:61" x14ac:dyDescent="0.3">
      <c r="A59" s="193" t="s">
        <v>464</v>
      </c>
      <c r="B59" s="194">
        <v>0.25</v>
      </c>
      <c r="C59" s="194">
        <v>0</v>
      </c>
      <c r="D59" s="194">
        <v>3</v>
      </c>
      <c r="E59" s="194">
        <v>0.214</v>
      </c>
      <c r="F59" s="194">
        <v>0.308</v>
      </c>
      <c r="G59" s="194">
        <v>13</v>
      </c>
      <c r="H59" s="194">
        <v>0.20499999999999999</v>
      </c>
      <c r="I59" s="194">
        <v>0.16700000000000001</v>
      </c>
      <c r="J59" s="194">
        <v>12</v>
      </c>
      <c r="K59" s="194">
        <v>0.189</v>
      </c>
      <c r="L59" s="194">
        <v>0.14299999999999999</v>
      </c>
      <c r="M59" s="194">
        <v>14</v>
      </c>
      <c r="N59" s="194">
        <v>0.2</v>
      </c>
      <c r="O59" s="194">
        <v>0.27300000000000002</v>
      </c>
      <c r="P59" s="194">
        <v>11</v>
      </c>
      <c r="Q59" s="194">
        <v>0.19400000000000001</v>
      </c>
      <c r="R59" s="194">
        <v>0.2</v>
      </c>
      <c r="S59" s="194">
        <v>10</v>
      </c>
      <c r="T59" s="194">
        <v>0.154</v>
      </c>
      <c r="U59" s="194">
        <v>0.1</v>
      </c>
      <c r="V59" s="194">
        <v>10</v>
      </c>
      <c r="W59" s="194">
        <v>0.35499999999999998</v>
      </c>
      <c r="X59" s="194">
        <v>0.16700000000000001</v>
      </c>
      <c r="Y59" s="194">
        <v>6</v>
      </c>
      <c r="Z59" s="194">
        <v>0.53800000000000003</v>
      </c>
      <c r="AA59" s="194">
        <v>0.6</v>
      </c>
      <c r="AB59" s="194">
        <v>15</v>
      </c>
      <c r="AC59" s="194">
        <v>0.57099999999999995</v>
      </c>
      <c r="AD59" s="194">
        <v>0.8</v>
      </c>
      <c r="AE59" s="194">
        <v>5</v>
      </c>
      <c r="AF59" s="194">
        <v>0.55000000000000004</v>
      </c>
      <c r="AG59" s="194">
        <v>0.375</v>
      </c>
      <c r="AH59" s="194">
        <v>8</v>
      </c>
      <c r="AI59" s="194">
        <v>0.46700000000000003</v>
      </c>
      <c r="AJ59" s="194">
        <v>0.57099999999999995</v>
      </c>
      <c r="AK59" s="194">
        <v>7</v>
      </c>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row>
    <row r="60" spans="1:61" x14ac:dyDescent="0.3">
      <c r="A60" s="193" t="s">
        <v>439</v>
      </c>
      <c r="B60" s="194">
        <v>0.61</v>
      </c>
      <c r="C60" s="194">
        <v>0.58299999999999996</v>
      </c>
      <c r="D60" s="194">
        <v>36</v>
      </c>
      <c r="E60" s="194">
        <v>0.67800000000000005</v>
      </c>
      <c r="F60" s="194">
        <v>0.65200000000000002</v>
      </c>
      <c r="G60" s="194">
        <v>23</v>
      </c>
      <c r="H60" s="194">
        <v>0.69899999999999995</v>
      </c>
      <c r="I60" s="194">
        <v>0.82099999999999995</v>
      </c>
      <c r="J60" s="194">
        <v>28</v>
      </c>
      <c r="K60" s="194">
        <v>0.73599999999999999</v>
      </c>
      <c r="L60" s="194">
        <v>0.59099999999999997</v>
      </c>
      <c r="M60" s="194">
        <v>22</v>
      </c>
      <c r="N60" s="194">
        <v>0.76900000000000002</v>
      </c>
      <c r="O60" s="194">
        <v>0.77300000000000002</v>
      </c>
      <c r="P60" s="194">
        <v>22</v>
      </c>
      <c r="Q60" s="194">
        <v>0.77900000000000003</v>
      </c>
      <c r="R60" s="194">
        <v>0.88200000000000001</v>
      </c>
      <c r="S60" s="194">
        <v>34</v>
      </c>
      <c r="T60" s="194">
        <v>0.755</v>
      </c>
      <c r="U60" s="194">
        <v>0.69199999999999995</v>
      </c>
      <c r="V60" s="194">
        <v>39</v>
      </c>
      <c r="W60" s="194">
        <v>0.68200000000000005</v>
      </c>
      <c r="X60" s="194">
        <v>0.69</v>
      </c>
      <c r="Y60" s="194">
        <v>29</v>
      </c>
      <c r="Z60" s="194">
        <v>0.54200000000000004</v>
      </c>
      <c r="AA60" s="194">
        <v>0.65</v>
      </c>
      <c r="AB60" s="194">
        <v>20</v>
      </c>
      <c r="AC60" s="194">
        <v>0.28399999999999997</v>
      </c>
      <c r="AD60" s="194">
        <v>0.26100000000000001</v>
      </c>
      <c r="AE60" s="194">
        <v>23</v>
      </c>
      <c r="AF60" s="194">
        <v>9.4E-2</v>
      </c>
      <c r="AG60" s="194">
        <v>6.5000000000000002E-2</v>
      </c>
      <c r="AH60" s="194">
        <v>31</v>
      </c>
      <c r="AI60" s="194">
        <v>3.2000000000000001E-2</v>
      </c>
      <c r="AJ60" s="194">
        <v>0</v>
      </c>
      <c r="AK60" s="194">
        <v>31</v>
      </c>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row>
    <row r="61" spans="1:61" x14ac:dyDescent="0.3">
      <c r="A61" s="193" t="s">
        <v>522</v>
      </c>
      <c r="B61" s="194">
        <v>0.61899999999999999</v>
      </c>
      <c r="C61" s="194">
        <v>0.33300000000000002</v>
      </c>
      <c r="D61" s="194">
        <v>9</v>
      </c>
      <c r="E61" s="194">
        <v>0.66700000000000004</v>
      </c>
      <c r="F61" s="194">
        <v>0.83299999999999996</v>
      </c>
      <c r="G61" s="194">
        <v>12</v>
      </c>
      <c r="H61" s="194">
        <v>0.86</v>
      </c>
      <c r="I61" s="194">
        <v>0.73299999999999998</v>
      </c>
      <c r="J61" s="194">
        <v>15</v>
      </c>
      <c r="K61" s="194">
        <v>0.80400000000000005</v>
      </c>
      <c r="L61" s="194">
        <v>1</v>
      </c>
      <c r="M61" s="194">
        <v>16</v>
      </c>
      <c r="N61" s="194">
        <v>0.83299999999999996</v>
      </c>
      <c r="O61" s="194">
        <v>0.66700000000000004</v>
      </c>
      <c r="P61" s="194">
        <v>15</v>
      </c>
      <c r="Q61" s="194">
        <v>0.72099999999999997</v>
      </c>
      <c r="R61" s="194">
        <v>0.81799999999999995</v>
      </c>
      <c r="S61" s="194">
        <v>11</v>
      </c>
      <c r="T61" s="194">
        <v>0.66</v>
      </c>
      <c r="U61" s="194">
        <v>0.70599999999999996</v>
      </c>
      <c r="V61" s="194">
        <v>17</v>
      </c>
      <c r="W61" s="194">
        <v>0.61699999999999999</v>
      </c>
      <c r="X61" s="194">
        <v>0.52600000000000002</v>
      </c>
      <c r="Y61" s="194">
        <v>19</v>
      </c>
      <c r="Z61" s="194">
        <v>0.59599999999999997</v>
      </c>
      <c r="AA61" s="194">
        <v>0.63600000000000001</v>
      </c>
      <c r="AB61" s="194">
        <v>11</v>
      </c>
      <c r="AC61" s="194">
        <v>0.65400000000000003</v>
      </c>
      <c r="AD61" s="194">
        <v>0.63600000000000001</v>
      </c>
      <c r="AE61" s="194">
        <v>22</v>
      </c>
      <c r="AF61" s="194">
        <v>0.66700000000000004</v>
      </c>
      <c r="AG61" s="194">
        <v>0.68400000000000005</v>
      </c>
      <c r="AH61" s="194">
        <v>19</v>
      </c>
      <c r="AI61" s="194">
        <v>0.68600000000000005</v>
      </c>
      <c r="AJ61" s="194">
        <v>0.68799999999999994</v>
      </c>
      <c r="AK61" s="194">
        <v>16</v>
      </c>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row>
    <row r="62" spans="1:61" x14ac:dyDescent="0.3">
      <c r="A62" s="193" t="s">
        <v>508</v>
      </c>
      <c r="B62" s="194">
        <v>0</v>
      </c>
      <c r="C62" s="194">
        <v>0</v>
      </c>
      <c r="D62" s="194">
        <v>3</v>
      </c>
      <c r="E62" s="194">
        <v>0</v>
      </c>
      <c r="F62" s="194">
        <v>0</v>
      </c>
      <c r="G62" s="194">
        <v>2</v>
      </c>
      <c r="H62" s="194">
        <v>0</v>
      </c>
      <c r="I62" s="194">
        <v>0</v>
      </c>
      <c r="J62" s="194">
        <v>3</v>
      </c>
      <c r="K62" s="194">
        <v>0</v>
      </c>
      <c r="L62" s="194">
        <v>0</v>
      </c>
      <c r="M62" s="194">
        <v>1</v>
      </c>
      <c r="N62" s="194">
        <v>0</v>
      </c>
      <c r="O62" s="194">
        <v>0</v>
      </c>
      <c r="P62" s="194">
        <v>4</v>
      </c>
      <c r="Q62" s="194">
        <v>0</v>
      </c>
      <c r="R62" s="194">
        <v>0</v>
      </c>
      <c r="S62" s="194">
        <v>1</v>
      </c>
      <c r="T62" s="194">
        <v>0</v>
      </c>
      <c r="U62" s="194">
        <v>0</v>
      </c>
      <c r="V62" s="194">
        <v>1</v>
      </c>
      <c r="W62" s="194">
        <v>0</v>
      </c>
      <c r="X62" s="194"/>
      <c r="Y62" s="194"/>
      <c r="Z62" s="194">
        <v>0</v>
      </c>
      <c r="AA62" s="194">
        <v>0</v>
      </c>
      <c r="AB62" s="194">
        <v>1</v>
      </c>
      <c r="AC62" s="194">
        <v>0</v>
      </c>
      <c r="AD62" s="194">
        <v>0</v>
      </c>
      <c r="AE62" s="194">
        <v>1</v>
      </c>
      <c r="AF62" s="194">
        <v>0</v>
      </c>
      <c r="AG62" s="194">
        <v>0</v>
      </c>
      <c r="AH62" s="194">
        <v>4</v>
      </c>
      <c r="AI62" s="194">
        <v>0</v>
      </c>
      <c r="AJ62" s="194">
        <v>0</v>
      </c>
      <c r="AK62" s="194">
        <v>5</v>
      </c>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row>
    <row r="63" spans="1:61" x14ac:dyDescent="0.3">
      <c r="A63" s="193" t="s">
        <v>506</v>
      </c>
      <c r="B63" s="194">
        <v>0.57099999999999995</v>
      </c>
      <c r="C63" s="194">
        <v>0.52</v>
      </c>
      <c r="D63" s="194">
        <v>25</v>
      </c>
      <c r="E63" s="194">
        <v>0.53600000000000003</v>
      </c>
      <c r="F63" s="194">
        <v>0.625</v>
      </c>
      <c r="G63" s="194">
        <v>24</v>
      </c>
      <c r="H63" s="194">
        <v>0.55400000000000005</v>
      </c>
      <c r="I63" s="194">
        <v>0.45</v>
      </c>
      <c r="J63" s="194">
        <v>20</v>
      </c>
      <c r="K63" s="194">
        <v>0.6</v>
      </c>
      <c r="L63" s="194">
        <v>0.56699999999999995</v>
      </c>
      <c r="M63" s="194">
        <v>30</v>
      </c>
      <c r="N63" s="194">
        <v>0.76200000000000001</v>
      </c>
      <c r="O63" s="194">
        <v>0.86699999999999999</v>
      </c>
      <c r="P63" s="194">
        <v>15</v>
      </c>
      <c r="Q63" s="194">
        <v>0.94699999999999995</v>
      </c>
      <c r="R63" s="194">
        <v>1</v>
      </c>
      <c r="S63" s="194">
        <v>18</v>
      </c>
      <c r="T63" s="194">
        <v>0.94</v>
      </c>
      <c r="U63" s="194">
        <v>0.95799999999999996</v>
      </c>
      <c r="V63" s="194">
        <v>24</v>
      </c>
      <c r="W63" s="194">
        <v>0.93500000000000005</v>
      </c>
      <c r="X63" s="194">
        <v>0.88</v>
      </c>
      <c r="Y63" s="194">
        <v>25</v>
      </c>
      <c r="Z63" s="194">
        <v>0.93400000000000005</v>
      </c>
      <c r="AA63" s="194">
        <v>0.96399999999999997</v>
      </c>
      <c r="AB63" s="194">
        <v>28</v>
      </c>
      <c r="AC63" s="194">
        <v>0.96899999999999997</v>
      </c>
      <c r="AD63" s="194">
        <v>0.95699999999999996</v>
      </c>
      <c r="AE63" s="194">
        <v>23</v>
      </c>
      <c r="AF63" s="194">
        <v>0.94799999999999995</v>
      </c>
      <c r="AG63" s="194">
        <v>1</v>
      </c>
      <c r="AH63" s="194">
        <v>14</v>
      </c>
      <c r="AI63" s="194">
        <v>0.94299999999999995</v>
      </c>
      <c r="AJ63" s="194">
        <v>0.90500000000000003</v>
      </c>
      <c r="AK63" s="194">
        <v>21</v>
      </c>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row>
    <row r="64" spans="1:61" x14ac:dyDescent="0.3">
      <c r="A64" s="193" t="s">
        <v>550</v>
      </c>
      <c r="B64" s="194">
        <v>0.71399999999999997</v>
      </c>
      <c r="C64" s="194">
        <v>0.6</v>
      </c>
      <c r="D64" s="194">
        <v>5</v>
      </c>
      <c r="E64" s="194">
        <v>0.73299999999999998</v>
      </c>
      <c r="F64" s="194">
        <v>1</v>
      </c>
      <c r="G64" s="194">
        <v>2</v>
      </c>
      <c r="H64" s="194">
        <v>0.63200000000000001</v>
      </c>
      <c r="I64" s="194">
        <v>0.75</v>
      </c>
      <c r="J64" s="194">
        <v>8</v>
      </c>
      <c r="K64" s="194">
        <v>0.54200000000000004</v>
      </c>
      <c r="L64" s="194">
        <v>0.44400000000000001</v>
      </c>
      <c r="M64" s="194">
        <v>9</v>
      </c>
      <c r="N64" s="194">
        <v>0.41199999999999998</v>
      </c>
      <c r="O64" s="194">
        <v>0.42899999999999999</v>
      </c>
      <c r="P64" s="194">
        <v>7</v>
      </c>
      <c r="Q64" s="194">
        <v>0.308</v>
      </c>
      <c r="R64" s="194">
        <v>0</v>
      </c>
      <c r="S64" s="194">
        <v>1</v>
      </c>
      <c r="T64" s="194">
        <v>0.5</v>
      </c>
      <c r="U64" s="194">
        <v>0.2</v>
      </c>
      <c r="V64" s="194">
        <v>5</v>
      </c>
      <c r="W64" s="194">
        <v>0.56299999999999994</v>
      </c>
      <c r="X64" s="194">
        <v>0.83299999999999996</v>
      </c>
      <c r="Y64" s="194">
        <v>6</v>
      </c>
      <c r="Z64" s="194">
        <v>0.77800000000000002</v>
      </c>
      <c r="AA64" s="194">
        <v>0.6</v>
      </c>
      <c r="AB64" s="194">
        <v>5</v>
      </c>
      <c r="AC64" s="194">
        <v>0.76200000000000001</v>
      </c>
      <c r="AD64" s="194">
        <v>0.85699999999999998</v>
      </c>
      <c r="AE64" s="194">
        <v>7</v>
      </c>
      <c r="AF64" s="194">
        <v>0.73099999999999998</v>
      </c>
      <c r="AG64" s="194">
        <v>0.77800000000000002</v>
      </c>
      <c r="AH64" s="194">
        <v>9</v>
      </c>
      <c r="AI64" s="194">
        <v>0.68400000000000005</v>
      </c>
      <c r="AJ64" s="194">
        <v>0.6</v>
      </c>
      <c r="AK64" s="194">
        <v>10</v>
      </c>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row>
    <row r="65" spans="1:61" x14ac:dyDescent="0.3">
      <c r="A65" s="193" t="s">
        <v>356</v>
      </c>
      <c r="B65" s="194">
        <v>0.72199999999999998</v>
      </c>
      <c r="C65" s="194">
        <v>0.375</v>
      </c>
      <c r="D65" s="194">
        <v>8</v>
      </c>
      <c r="E65" s="194">
        <v>0.70799999999999996</v>
      </c>
      <c r="F65" s="194">
        <v>1</v>
      </c>
      <c r="G65" s="194">
        <v>10</v>
      </c>
      <c r="H65" s="194">
        <v>0.91300000000000003</v>
      </c>
      <c r="I65" s="194">
        <v>0.66700000000000004</v>
      </c>
      <c r="J65" s="194">
        <v>6</v>
      </c>
      <c r="K65" s="194">
        <v>0.9</v>
      </c>
      <c r="L65" s="194">
        <v>1</v>
      </c>
      <c r="M65" s="194">
        <v>7</v>
      </c>
      <c r="N65" s="194">
        <v>1</v>
      </c>
      <c r="O65" s="194">
        <v>1</v>
      </c>
      <c r="P65" s="194">
        <v>7</v>
      </c>
      <c r="Q65" s="194">
        <v>1</v>
      </c>
      <c r="R65" s="194">
        <v>1</v>
      </c>
      <c r="S65" s="194">
        <v>2</v>
      </c>
      <c r="T65" s="194">
        <v>1</v>
      </c>
      <c r="U65" s="194">
        <v>1</v>
      </c>
      <c r="V65" s="194">
        <v>2</v>
      </c>
      <c r="W65" s="194">
        <v>0.84599999999999997</v>
      </c>
      <c r="X65" s="194">
        <v>1</v>
      </c>
      <c r="Y65" s="194">
        <v>8</v>
      </c>
      <c r="Z65" s="194">
        <v>0.81299999999999994</v>
      </c>
      <c r="AA65" s="194">
        <v>0.33300000000000002</v>
      </c>
      <c r="AB65" s="194">
        <v>3</v>
      </c>
      <c r="AC65" s="194">
        <v>0.75</v>
      </c>
      <c r="AD65" s="194">
        <v>0.8</v>
      </c>
      <c r="AE65" s="194">
        <v>5</v>
      </c>
      <c r="AF65" s="194">
        <v>0.81299999999999994</v>
      </c>
      <c r="AG65" s="194">
        <v>0.875</v>
      </c>
      <c r="AH65" s="194">
        <v>8</v>
      </c>
      <c r="AI65" s="194">
        <v>0.81799999999999995</v>
      </c>
      <c r="AJ65" s="194">
        <v>0.66700000000000004</v>
      </c>
      <c r="AK65" s="194">
        <v>3</v>
      </c>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row>
    <row r="66" spans="1:61" x14ac:dyDescent="0.3">
      <c r="A66" s="193" t="s">
        <v>414</v>
      </c>
      <c r="B66" s="194">
        <v>0.32200000000000001</v>
      </c>
      <c r="C66" s="194">
        <v>0.33300000000000002</v>
      </c>
      <c r="D66" s="194">
        <v>36</v>
      </c>
      <c r="E66" s="194">
        <v>0.32400000000000001</v>
      </c>
      <c r="F66" s="194">
        <v>0.30399999999999999</v>
      </c>
      <c r="G66" s="194">
        <v>23</v>
      </c>
      <c r="H66" s="194">
        <v>0.33</v>
      </c>
      <c r="I66" s="194">
        <v>0.32600000000000001</v>
      </c>
      <c r="J66" s="194">
        <v>43</v>
      </c>
      <c r="K66" s="194">
        <v>0.34</v>
      </c>
      <c r="L66" s="194">
        <v>0.35099999999999998</v>
      </c>
      <c r="M66" s="194">
        <v>37</v>
      </c>
      <c r="N66" s="194">
        <v>0.311</v>
      </c>
      <c r="O66" s="194">
        <v>0.34799999999999998</v>
      </c>
      <c r="P66" s="194">
        <v>23</v>
      </c>
      <c r="Q66" s="194">
        <v>0.315</v>
      </c>
      <c r="R66" s="194">
        <v>0.23300000000000001</v>
      </c>
      <c r="S66" s="194">
        <v>30</v>
      </c>
      <c r="T66" s="194">
        <v>0.26400000000000001</v>
      </c>
      <c r="U66" s="194">
        <v>0.4</v>
      </c>
      <c r="V66" s="194">
        <v>20</v>
      </c>
      <c r="W66" s="194">
        <v>0.34100000000000003</v>
      </c>
      <c r="X66" s="194">
        <v>0.216</v>
      </c>
      <c r="Y66" s="194">
        <v>37</v>
      </c>
      <c r="Z66" s="194">
        <v>0.316</v>
      </c>
      <c r="AA66" s="194">
        <v>0.48</v>
      </c>
      <c r="AB66" s="194">
        <v>25</v>
      </c>
      <c r="AC66" s="194">
        <v>0.29399999999999998</v>
      </c>
      <c r="AD66" s="194">
        <v>0.308</v>
      </c>
      <c r="AE66" s="194">
        <v>52</v>
      </c>
      <c r="AF66" s="194">
        <v>0.28699999999999998</v>
      </c>
      <c r="AG66" s="194">
        <v>0.125</v>
      </c>
      <c r="AH66" s="194">
        <v>32</v>
      </c>
      <c r="AI66" s="194">
        <v>0.27100000000000002</v>
      </c>
      <c r="AJ66" s="194">
        <v>0.39500000000000002</v>
      </c>
      <c r="AK66" s="194">
        <v>38</v>
      </c>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row>
    <row r="67" spans="1:61" x14ac:dyDescent="0.3">
      <c r="A67" s="193" t="s">
        <v>456</v>
      </c>
      <c r="B67" s="194">
        <v>0.67800000000000005</v>
      </c>
      <c r="C67" s="194">
        <v>0.72299999999999998</v>
      </c>
      <c r="D67" s="194">
        <v>47</v>
      </c>
      <c r="E67" s="194">
        <v>0.65100000000000002</v>
      </c>
      <c r="F67" s="194">
        <v>0.625</v>
      </c>
      <c r="G67" s="194">
        <v>40</v>
      </c>
      <c r="H67" s="194">
        <v>0.65100000000000002</v>
      </c>
      <c r="I67" s="194">
        <v>0.59499999999999997</v>
      </c>
      <c r="J67" s="194">
        <v>42</v>
      </c>
      <c r="K67" s="194">
        <v>0.73099999999999998</v>
      </c>
      <c r="L67" s="194">
        <v>0.77800000000000002</v>
      </c>
      <c r="M67" s="194">
        <v>27</v>
      </c>
      <c r="N67" s="194">
        <v>0.82499999999999996</v>
      </c>
      <c r="O67" s="194">
        <v>0.84599999999999997</v>
      </c>
      <c r="P67" s="194">
        <v>39</v>
      </c>
      <c r="Q67" s="194">
        <v>0.85099999999999998</v>
      </c>
      <c r="R67" s="194">
        <v>0.83799999999999997</v>
      </c>
      <c r="S67" s="194">
        <v>37</v>
      </c>
      <c r="T67" s="194">
        <v>0.86899999999999999</v>
      </c>
      <c r="U67" s="194">
        <v>0.86699999999999999</v>
      </c>
      <c r="V67" s="194">
        <v>45</v>
      </c>
      <c r="W67" s="194">
        <v>0.86399999999999999</v>
      </c>
      <c r="X67" s="194">
        <v>0.88900000000000001</v>
      </c>
      <c r="Y67" s="194">
        <v>63</v>
      </c>
      <c r="Z67" s="194">
        <v>0.84</v>
      </c>
      <c r="AA67" s="194">
        <v>0.82099999999999995</v>
      </c>
      <c r="AB67" s="194">
        <v>39</v>
      </c>
      <c r="AC67" s="194">
        <v>0.76300000000000001</v>
      </c>
      <c r="AD67" s="194">
        <v>0.78600000000000003</v>
      </c>
      <c r="AE67" s="194">
        <v>42</v>
      </c>
      <c r="AF67" s="194">
        <v>0.76500000000000001</v>
      </c>
      <c r="AG67" s="194">
        <v>0.70399999999999996</v>
      </c>
      <c r="AH67" s="194">
        <v>54</v>
      </c>
      <c r="AI67" s="194">
        <v>0.755</v>
      </c>
      <c r="AJ67" s="194">
        <v>0.82499999999999996</v>
      </c>
      <c r="AK67" s="194">
        <v>40</v>
      </c>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row>
    <row r="68" spans="1:61" x14ac:dyDescent="0.3">
      <c r="A68" s="193" t="s">
        <v>293</v>
      </c>
      <c r="B68" s="194">
        <v>0.82399999999999995</v>
      </c>
      <c r="C68" s="194">
        <v>0.83299999999999996</v>
      </c>
      <c r="D68" s="194">
        <v>6</v>
      </c>
      <c r="E68" s="194">
        <v>0.81</v>
      </c>
      <c r="F68" s="194">
        <v>0.81799999999999995</v>
      </c>
      <c r="G68" s="194">
        <v>11</v>
      </c>
      <c r="H68" s="194">
        <v>0.77800000000000002</v>
      </c>
      <c r="I68" s="194">
        <v>0.75</v>
      </c>
      <c r="J68" s="194">
        <v>4</v>
      </c>
      <c r="K68" s="194">
        <v>0.8</v>
      </c>
      <c r="L68" s="194">
        <v>0.66700000000000004</v>
      </c>
      <c r="M68" s="194">
        <v>3</v>
      </c>
      <c r="N68" s="194">
        <v>0.9</v>
      </c>
      <c r="O68" s="194">
        <v>0.875</v>
      </c>
      <c r="P68" s="194">
        <v>8</v>
      </c>
      <c r="Q68" s="194">
        <v>0.95099999999999996</v>
      </c>
      <c r="R68" s="194">
        <v>0.94699999999999995</v>
      </c>
      <c r="S68" s="194">
        <v>19</v>
      </c>
      <c r="T68" s="194">
        <v>0.97399999999999998</v>
      </c>
      <c r="U68" s="194">
        <v>1</v>
      </c>
      <c r="V68" s="194">
        <v>14</v>
      </c>
      <c r="W68" s="194">
        <v>0.86699999999999999</v>
      </c>
      <c r="X68" s="194">
        <v>1</v>
      </c>
      <c r="Y68" s="194">
        <v>5</v>
      </c>
      <c r="Z68" s="194">
        <v>0.81</v>
      </c>
      <c r="AA68" s="194">
        <v>0.63600000000000001</v>
      </c>
      <c r="AB68" s="194">
        <v>11</v>
      </c>
      <c r="AC68" s="194">
        <v>0.78900000000000003</v>
      </c>
      <c r="AD68" s="194">
        <v>1</v>
      </c>
      <c r="AE68" s="194">
        <v>5</v>
      </c>
      <c r="AF68" s="194">
        <v>1</v>
      </c>
      <c r="AG68" s="194">
        <v>1</v>
      </c>
      <c r="AH68" s="194">
        <v>3</v>
      </c>
      <c r="AI68" s="194">
        <v>1</v>
      </c>
      <c r="AJ68" s="194">
        <v>1</v>
      </c>
      <c r="AK68" s="194">
        <v>3</v>
      </c>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row>
    <row r="69" spans="1:61" x14ac:dyDescent="0.3">
      <c r="A69" s="193" t="s">
        <v>486</v>
      </c>
      <c r="B69" s="194">
        <v>0.3</v>
      </c>
      <c r="C69" s="194">
        <v>1</v>
      </c>
      <c r="D69" s="194">
        <v>3</v>
      </c>
      <c r="E69" s="194">
        <v>0.375</v>
      </c>
      <c r="F69" s="194">
        <v>0</v>
      </c>
      <c r="G69" s="194">
        <v>7</v>
      </c>
      <c r="H69" s="194">
        <v>0.158</v>
      </c>
      <c r="I69" s="194">
        <v>0.5</v>
      </c>
      <c r="J69" s="194">
        <v>6</v>
      </c>
      <c r="K69" s="194">
        <v>0.188</v>
      </c>
      <c r="L69" s="194">
        <v>0</v>
      </c>
      <c r="M69" s="194">
        <v>6</v>
      </c>
      <c r="N69" s="194">
        <v>0.25</v>
      </c>
      <c r="O69" s="194">
        <v>0</v>
      </c>
      <c r="P69" s="194">
        <v>4</v>
      </c>
      <c r="Q69" s="194">
        <v>0.52900000000000003</v>
      </c>
      <c r="R69" s="194">
        <v>0.66700000000000004</v>
      </c>
      <c r="S69" s="194">
        <v>6</v>
      </c>
      <c r="T69" s="194">
        <v>0.7</v>
      </c>
      <c r="U69" s="194">
        <v>0.71399999999999997</v>
      </c>
      <c r="V69" s="194">
        <v>7</v>
      </c>
      <c r="W69" s="194">
        <v>0.73699999999999999</v>
      </c>
      <c r="X69" s="194">
        <v>0.71399999999999997</v>
      </c>
      <c r="Y69" s="194">
        <v>7</v>
      </c>
      <c r="Z69" s="194">
        <v>0.68799999999999994</v>
      </c>
      <c r="AA69" s="194">
        <v>0.8</v>
      </c>
      <c r="AB69" s="194">
        <v>5</v>
      </c>
      <c r="AC69" s="194">
        <v>0.56299999999999994</v>
      </c>
      <c r="AD69" s="194">
        <v>0.5</v>
      </c>
      <c r="AE69" s="194">
        <v>4</v>
      </c>
      <c r="AF69" s="194">
        <v>0.46200000000000002</v>
      </c>
      <c r="AG69" s="194">
        <v>0.42899999999999999</v>
      </c>
      <c r="AH69" s="194">
        <v>7</v>
      </c>
      <c r="AI69" s="194">
        <v>0.44400000000000001</v>
      </c>
      <c r="AJ69" s="194">
        <v>0.5</v>
      </c>
      <c r="AK69" s="194">
        <v>2</v>
      </c>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row>
    <row r="70" spans="1:61" x14ac:dyDescent="0.3">
      <c r="A70" s="193" t="s">
        <v>362</v>
      </c>
      <c r="B70" s="194">
        <v>0.33300000000000002</v>
      </c>
      <c r="C70" s="194">
        <v>0.33300000000000002</v>
      </c>
      <c r="D70" s="194">
        <v>15</v>
      </c>
      <c r="E70" s="194">
        <v>0.34599999999999997</v>
      </c>
      <c r="F70" s="194">
        <v>0.33300000000000002</v>
      </c>
      <c r="G70" s="194">
        <v>6</v>
      </c>
      <c r="H70" s="194">
        <v>0.36399999999999999</v>
      </c>
      <c r="I70" s="194">
        <v>0.4</v>
      </c>
      <c r="J70" s="194">
        <v>5</v>
      </c>
      <c r="K70" s="194">
        <v>0.27300000000000002</v>
      </c>
      <c r="L70" s="194">
        <v>0.36399999999999999</v>
      </c>
      <c r="M70" s="194">
        <v>11</v>
      </c>
      <c r="N70" s="194">
        <v>0.38700000000000001</v>
      </c>
      <c r="O70" s="194">
        <v>0</v>
      </c>
      <c r="P70" s="194">
        <v>6</v>
      </c>
      <c r="Q70" s="194">
        <v>0.39300000000000002</v>
      </c>
      <c r="R70" s="194">
        <v>0.57099999999999995</v>
      </c>
      <c r="S70" s="194">
        <v>14</v>
      </c>
      <c r="T70" s="194">
        <v>0.55200000000000005</v>
      </c>
      <c r="U70" s="194">
        <v>0.375</v>
      </c>
      <c r="V70" s="194">
        <v>8</v>
      </c>
      <c r="W70" s="194">
        <v>0.57899999999999996</v>
      </c>
      <c r="X70" s="194">
        <v>0.71399999999999997</v>
      </c>
      <c r="Y70" s="194">
        <v>7</v>
      </c>
      <c r="Z70" s="194">
        <v>0.57699999999999996</v>
      </c>
      <c r="AA70" s="194">
        <v>0.75</v>
      </c>
      <c r="AB70" s="194">
        <v>4</v>
      </c>
      <c r="AC70" s="194">
        <v>0.53600000000000003</v>
      </c>
      <c r="AD70" s="194">
        <v>0.46700000000000003</v>
      </c>
      <c r="AE70" s="194">
        <v>15</v>
      </c>
      <c r="AF70" s="194">
        <v>0.46899999999999997</v>
      </c>
      <c r="AG70" s="194">
        <v>0.55600000000000005</v>
      </c>
      <c r="AH70" s="194">
        <v>9</v>
      </c>
      <c r="AI70" s="194">
        <v>0.47099999999999997</v>
      </c>
      <c r="AJ70" s="194">
        <v>0.375</v>
      </c>
      <c r="AK70" s="194">
        <v>8</v>
      </c>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row>
    <row r="71" spans="1:61" x14ac:dyDescent="0.3">
      <c r="A71" s="193" t="s">
        <v>367</v>
      </c>
      <c r="B71" s="194">
        <v>0.81299999999999994</v>
      </c>
      <c r="C71" s="194">
        <v>0.8</v>
      </c>
      <c r="D71" s="194">
        <v>20</v>
      </c>
      <c r="E71" s="194">
        <v>0.82899999999999996</v>
      </c>
      <c r="F71" s="194">
        <v>0.82099999999999995</v>
      </c>
      <c r="G71" s="194">
        <v>28</v>
      </c>
      <c r="H71" s="194">
        <v>0.84</v>
      </c>
      <c r="I71" s="194">
        <v>0.86399999999999999</v>
      </c>
      <c r="J71" s="194">
        <v>22</v>
      </c>
      <c r="K71" s="194">
        <v>0.76100000000000001</v>
      </c>
      <c r="L71" s="194">
        <v>0.84</v>
      </c>
      <c r="M71" s="194">
        <v>25</v>
      </c>
      <c r="N71" s="194">
        <v>0.57099999999999995</v>
      </c>
      <c r="O71" s="194">
        <v>0.55000000000000004</v>
      </c>
      <c r="P71" s="194">
        <v>20</v>
      </c>
      <c r="Q71" s="194">
        <v>0.65900000000000003</v>
      </c>
      <c r="R71" s="194">
        <v>0.375</v>
      </c>
      <c r="S71" s="194">
        <v>32</v>
      </c>
      <c r="T71" s="194">
        <v>0.75</v>
      </c>
      <c r="U71" s="194">
        <v>0.94899999999999995</v>
      </c>
      <c r="V71" s="194">
        <v>39</v>
      </c>
      <c r="W71" s="194">
        <v>0.84699999999999998</v>
      </c>
      <c r="X71" s="194">
        <v>0.89700000000000002</v>
      </c>
      <c r="Y71" s="194">
        <v>29</v>
      </c>
      <c r="Z71" s="194">
        <v>0.73099999999999998</v>
      </c>
      <c r="AA71" s="194">
        <v>0.72099999999999997</v>
      </c>
      <c r="AB71" s="194">
        <v>43</v>
      </c>
      <c r="AC71" s="194">
        <v>0.69199999999999995</v>
      </c>
      <c r="AD71" s="194">
        <v>0.59399999999999997</v>
      </c>
      <c r="AE71" s="194">
        <v>32</v>
      </c>
      <c r="AF71" s="194">
        <v>0.64900000000000002</v>
      </c>
      <c r="AG71" s="194">
        <v>0.73799999999999999</v>
      </c>
      <c r="AH71" s="194">
        <v>42</v>
      </c>
      <c r="AI71" s="194">
        <v>0.67100000000000004</v>
      </c>
      <c r="AJ71" s="194">
        <v>0.6</v>
      </c>
      <c r="AK71" s="194">
        <v>40</v>
      </c>
      <c r="AL71" s="55"/>
      <c r="AM71" s="55"/>
      <c r="AN71" s="55"/>
      <c r="AO71" s="55"/>
      <c r="AP71" s="55"/>
      <c r="AQ71" s="55"/>
      <c r="AR71" s="55"/>
      <c r="AS71" s="55"/>
      <c r="AT71" s="55"/>
      <c r="AU71" s="55"/>
      <c r="AV71" s="55"/>
      <c r="AW71" s="55"/>
      <c r="AX71" s="55"/>
      <c r="AY71" s="55"/>
      <c r="AZ71" s="55"/>
      <c r="BA71" s="55"/>
      <c r="BB71" s="55"/>
      <c r="BC71" s="55"/>
      <c r="BD71" s="55"/>
      <c r="BE71" s="55"/>
      <c r="BF71" s="55"/>
      <c r="BG71" s="55"/>
      <c r="BH71" s="55"/>
      <c r="BI71" s="55"/>
    </row>
    <row r="72" spans="1:61" x14ac:dyDescent="0.3">
      <c r="A72" s="193" t="s">
        <v>327</v>
      </c>
      <c r="B72" s="194">
        <v>0.52400000000000002</v>
      </c>
      <c r="C72" s="194">
        <v>0</v>
      </c>
      <c r="D72" s="194">
        <v>3</v>
      </c>
      <c r="E72" s="194">
        <v>0.55600000000000005</v>
      </c>
      <c r="F72" s="194">
        <v>0.61099999999999999</v>
      </c>
      <c r="G72" s="194">
        <v>18</v>
      </c>
      <c r="H72" s="194">
        <v>0.61399999999999999</v>
      </c>
      <c r="I72" s="194">
        <v>0.6</v>
      </c>
      <c r="J72" s="194">
        <v>15</v>
      </c>
      <c r="K72" s="194">
        <v>0.65800000000000003</v>
      </c>
      <c r="L72" s="194">
        <v>0.63600000000000001</v>
      </c>
      <c r="M72" s="194">
        <v>11</v>
      </c>
      <c r="N72" s="194">
        <v>0.65</v>
      </c>
      <c r="O72" s="194">
        <v>0.75</v>
      </c>
      <c r="P72" s="194">
        <v>12</v>
      </c>
      <c r="Q72" s="194">
        <v>0.59499999999999997</v>
      </c>
      <c r="R72" s="194">
        <v>0.58799999999999997</v>
      </c>
      <c r="S72" s="194">
        <v>17</v>
      </c>
      <c r="T72" s="194">
        <v>0.47699999999999998</v>
      </c>
      <c r="U72" s="194">
        <v>0.46200000000000002</v>
      </c>
      <c r="V72" s="194">
        <v>13</v>
      </c>
      <c r="W72" s="194">
        <v>0.54500000000000004</v>
      </c>
      <c r="X72" s="194">
        <v>0.35699999999999998</v>
      </c>
      <c r="Y72" s="194">
        <v>14</v>
      </c>
      <c r="Z72" s="194">
        <v>0.70499999999999996</v>
      </c>
      <c r="AA72" s="194">
        <v>0.76500000000000001</v>
      </c>
      <c r="AB72" s="194">
        <v>17</v>
      </c>
      <c r="AC72" s="194">
        <v>0.90200000000000002</v>
      </c>
      <c r="AD72" s="194">
        <v>1</v>
      </c>
      <c r="AE72" s="194">
        <v>13</v>
      </c>
      <c r="AF72" s="194">
        <v>0.93899999999999995</v>
      </c>
      <c r="AG72" s="194">
        <v>1</v>
      </c>
      <c r="AH72" s="194">
        <v>11</v>
      </c>
      <c r="AI72" s="194">
        <v>0.9</v>
      </c>
      <c r="AJ72" s="194">
        <v>0.77800000000000002</v>
      </c>
      <c r="AK72" s="194">
        <v>9</v>
      </c>
      <c r="AL72" s="55"/>
      <c r="AM72" s="55"/>
      <c r="AN72" s="55"/>
      <c r="AO72" s="55"/>
      <c r="AP72" s="55"/>
      <c r="AQ72" s="55"/>
      <c r="AR72" s="55"/>
      <c r="AS72" s="55"/>
      <c r="AT72" s="55"/>
      <c r="AU72" s="55"/>
      <c r="AV72" s="55"/>
      <c r="AW72" s="55"/>
      <c r="AX72" s="55"/>
      <c r="AY72" s="55"/>
      <c r="AZ72" s="55"/>
      <c r="BA72" s="55"/>
      <c r="BB72" s="55"/>
      <c r="BC72" s="55"/>
      <c r="BD72" s="55"/>
      <c r="BE72" s="55"/>
      <c r="BF72" s="55"/>
      <c r="BG72" s="55"/>
      <c r="BH72" s="55"/>
      <c r="BI72" s="55"/>
    </row>
    <row r="73" spans="1:61" x14ac:dyDescent="0.3">
      <c r="A73" s="193" t="s">
        <v>492</v>
      </c>
      <c r="B73" s="194">
        <v>0.91700000000000004</v>
      </c>
      <c r="C73" s="194">
        <v>1</v>
      </c>
      <c r="D73" s="194">
        <v>13</v>
      </c>
      <c r="E73" s="194">
        <v>0.94899999999999995</v>
      </c>
      <c r="F73" s="194">
        <v>0.81799999999999995</v>
      </c>
      <c r="G73" s="194">
        <v>11</v>
      </c>
      <c r="H73" s="194">
        <v>0.92300000000000004</v>
      </c>
      <c r="I73" s="194">
        <v>1</v>
      </c>
      <c r="J73" s="194">
        <v>15</v>
      </c>
      <c r="K73" s="194">
        <v>0.96799999999999997</v>
      </c>
      <c r="L73" s="194">
        <v>0.92300000000000004</v>
      </c>
      <c r="M73" s="194">
        <v>26</v>
      </c>
      <c r="N73" s="194">
        <v>0.96099999999999997</v>
      </c>
      <c r="O73" s="194">
        <v>1</v>
      </c>
      <c r="P73" s="194">
        <v>22</v>
      </c>
      <c r="Q73" s="194">
        <v>0.98499999999999999</v>
      </c>
      <c r="R73" s="194">
        <v>0.96399999999999997</v>
      </c>
      <c r="S73" s="194">
        <v>28</v>
      </c>
      <c r="T73" s="194">
        <v>0.96599999999999997</v>
      </c>
      <c r="U73" s="194">
        <v>1</v>
      </c>
      <c r="V73" s="194">
        <v>18</v>
      </c>
      <c r="W73" s="194">
        <v>0.95799999999999996</v>
      </c>
      <c r="X73" s="194">
        <v>0.91700000000000004</v>
      </c>
      <c r="Y73" s="194">
        <v>12</v>
      </c>
      <c r="Z73" s="194">
        <v>0.93100000000000005</v>
      </c>
      <c r="AA73" s="194">
        <v>0.94399999999999995</v>
      </c>
      <c r="AB73" s="194">
        <v>18</v>
      </c>
      <c r="AC73" s="194">
        <v>0.95199999999999996</v>
      </c>
      <c r="AD73" s="194">
        <v>0.92900000000000005</v>
      </c>
      <c r="AE73" s="194">
        <v>28</v>
      </c>
      <c r="AF73" s="194">
        <v>0.95499999999999996</v>
      </c>
      <c r="AG73" s="194">
        <v>1</v>
      </c>
      <c r="AH73" s="194">
        <v>17</v>
      </c>
      <c r="AI73" s="194">
        <v>0.97399999999999998</v>
      </c>
      <c r="AJ73" s="194">
        <v>0.95499999999999996</v>
      </c>
      <c r="AK73" s="194">
        <v>22</v>
      </c>
      <c r="AL73" s="55"/>
      <c r="AM73" s="55"/>
      <c r="AN73" s="55"/>
      <c r="AO73" s="55"/>
      <c r="AP73" s="55"/>
      <c r="AQ73" s="55"/>
      <c r="AR73" s="55"/>
      <c r="AS73" s="55"/>
      <c r="AT73" s="55"/>
      <c r="AU73" s="55"/>
      <c r="AV73" s="55"/>
      <c r="AW73" s="55"/>
      <c r="AX73" s="55"/>
      <c r="AY73" s="55"/>
      <c r="AZ73" s="55"/>
      <c r="BA73" s="55"/>
      <c r="BB73" s="55"/>
      <c r="BC73" s="55"/>
      <c r="BD73" s="55"/>
      <c r="BE73" s="55"/>
      <c r="BF73" s="55"/>
      <c r="BG73" s="55"/>
      <c r="BH73" s="55"/>
      <c r="BI73" s="55"/>
    </row>
    <row r="74" spans="1:61" x14ac:dyDescent="0.3">
      <c r="A74" s="193" t="s">
        <v>418</v>
      </c>
      <c r="B74" s="194">
        <v>0.47399999999999998</v>
      </c>
      <c r="C74" s="194">
        <v>0.27300000000000002</v>
      </c>
      <c r="D74" s="194">
        <v>11</v>
      </c>
      <c r="E74" s="194">
        <v>0.48299999999999998</v>
      </c>
      <c r="F74" s="194">
        <v>0.75</v>
      </c>
      <c r="G74" s="194">
        <v>8</v>
      </c>
      <c r="H74" s="194">
        <v>0.48399999999999999</v>
      </c>
      <c r="I74" s="194">
        <v>0.5</v>
      </c>
      <c r="J74" s="194">
        <v>10</v>
      </c>
      <c r="K74" s="194">
        <v>0.35499999999999998</v>
      </c>
      <c r="L74" s="194">
        <v>0.308</v>
      </c>
      <c r="M74" s="194">
        <v>13</v>
      </c>
      <c r="N74" s="194">
        <v>0.26700000000000002</v>
      </c>
      <c r="O74" s="194">
        <v>0.25</v>
      </c>
      <c r="P74" s="194">
        <v>8</v>
      </c>
      <c r="Q74" s="194">
        <v>0.24</v>
      </c>
      <c r="R74" s="194">
        <v>0.222</v>
      </c>
      <c r="S74" s="194">
        <v>9</v>
      </c>
      <c r="T74" s="194">
        <v>0.34399999999999997</v>
      </c>
      <c r="U74" s="194">
        <v>0.25</v>
      </c>
      <c r="V74" s="194">
        <v>8</v>
      </c>
      <c r="W74" s="194">
        <v>0.48599999999999999</v>
      </c>
      <c r="X74" s="194">
        <v>0.46700000000000003</v>
      </c>
      <c r="Y74" s="194">
        <v>15</v>
      </c>
      <c r="Z74" s="194">
        <v>0.52600000000000002</v>
      </c>
      <c r="AA74" s="194">
        <v>0.64300000000000002</v>
      </c>
      <c r="AB74" s="194">
        <v>14</v>
      </c>
      <c r="AC74" s="194">
        <v>0.59399999999999997</v>
      </c>
      <c r="AD74" s="194">
        <v>0.44400000000000001</v>
      </c>
      <c r="AE74" s="194">
        <v>9</v>
      </c>
      <c r="AF74" s="194">
        <v>0.58299999999999996</v>
      </c>
      <c r="AG74" s="194">
        <v>0.66700000000000004</v>
      </c>
      <c r="AH74" s="194">
        <v>9</v>
      </c>
      <c r="AI74" s="194">
        <v>0.66700000000000004</v>
      </c>
      <c r="AJ74" s="194">
        <v>0.66700000000000004</v>
      </c>
      <c r="AK74" s="194">
        <v>6</v>
      </c>
      <c r="AL74" s="55"/>
      <c r="AM74" s="55"/>
      <c r="AN74" s="55"/>
      <c r="AO74" s="55"/>
      <c r="AP74" s="55"/>
      <c r="AQ74" s="55"/>
      <c r="AR74" s="55"/>
      <c r="AS74" s="55"/>
      <c r="AT74" s="55"/>
      <c r="AU74" s="55"/>
      <c r="AV74" s="55"/>
      <c r="AW74" s="55"/>
      <c r="AX74" s="55"/>
      <c r="AY74" s="55"/>
      <c r="AZ74" s="55"/>
      <c r="BA74" s="55"/>
      <c r="BB74" s="55"/>
      <c r="BC74" s="55"/>
      <c r="BD74" s="55"/>
      <c r="BE74" s="55"/>
      <c r="BF74" s="55"/>
      <c r="BG74" s="55"/>
      <c r="BH74" s="55"/>
      <c r="BI74" s="55"/>
    </row>
    <row r="75" spans="1:61" x14ac:dyDescent="0.3">
      <c r="A75" s="193" t="s">
        <v>382</v>
      </c>
      <c r="B75" s="194">
        <v>0.17599999999999999</v>
      </c>
      <c r="C75" s="194">
        <v>0.125</v>
      </c>
      <c r="D75" s="194">
        <v>8</v>
      </c>
      <c r="E75" s="194">
        <v>0.12</v>
      </c>
      <c r="F75" s="194">
        <v>0.222</v>
      </c>
      <c r="G75" s="194">
        <v>9</v>
      </c>
      <c r="H75" s="194">
        <v>0.125</v>
      </c>
      <c r="I75" s="194">
        <v>0</v>
      </c>
      <c r="J75" s="194">
        <v>8</v>
      </c>
      <c r="K75" s="194">
        <v>3.3000000000000002E-2</v>
      </c>
      <c r="L75" s="194">
        <v>0.14299999999999999</v>
      </c>
      <c r="M75" s="194">
        <v>7</v>
      </c>
      <c r="N75" s="194">
        <v>9.7000000000000003E-2</v>
      </c>
      <c r="O75" s="194">
        <v>0</v>
      </c>
      <c r="P75" s="194">
        <v>15</v>
      </c>
      <c r="Q75" s="194">
        <v>0.1</v>
      </c>
      <c r="R75" s="194">
        <v>0.222</v>
      </c>
      <c r="S75" s="194">
        <v>9</v>
      </c>
      <c r="T75" s="194">
        <v>0.3</v>
      </c>
      <c r="U75" s="194">
        <v>0.16700000000000001</v>
      </c>
      <c r="V75" s="194">
        <v>6</v>
      </c>
      <c r="W75" s="194">
        <v>0.27300000000000002</v>
      </c>
      <c r="X75" s="194">
        <v>0.6</v>
      </c>
      <c r="Y75" s="194">
        <v>5</v>
      </c>
      <c r="Z75" s="194">
        <v>0.51900000000000002</v>
      </c>
      <c r="AA75" s="194">
        <v>0.182</v>
      </c>
      <c r="AB75" s="194">
        <v>11</v>
      </c>
      <c r="AC75" s="194">
        <v>0.64700000000000002</v>
      </c>
      <c r="AD75" s="194">
        <v>0.81799999999999995</v>
      </c>
      <c r="AE75" s="194">
        <v>11</v>
      </c>
      <c r="AF75" s="194">
        <v>0.91400000000000003</v>
      </c>
      <c r="AG75" s="194">
        <v>0.91700000000000004</v>
      </c>
      <c r="AH75" s="194">
        <v>12</v>
      </c>
      <c r="AI75" s="194">
        <v>0.95799999999999996</v>
      </c>
      <c r="AJ75" s="194">
        <v>1</v>
      </c>
      <c r="AK75" s="194">
        <v>12</v>
      </c>
      <c r="AL75" s="55"/>
      <c r="AM75" s="55"/>
      <c r="AN75" s="55"/>
      <c r="AO75" s="55"/>
      <c r="AP75" s="55"/>
      <c r="AQ75" s="55"/>
      <c r="AR75" s="55"/>
      <c r="AS75" s="55"/>
      <c r="AT75" s="55"/>
      <c r="AU75" s="55"/>
      <c r="AV75" s="55"/>
      <c r="AW75" s="55"/>
      <c r="AX75" s="55"/>
      <c r="AY75" s="55"/>
      <c r="AZ75" s="55"/>
      <c r="BA75" s="55"/>
      <c r="BB75" s="55"/>
      <c r="BC75" s="55"/>
      <c r="BD75" s="55"/>
      <c r="BE75" s="55"/>
      <c r="BF75" s="55"/>
      <c r="BG75" s="55"/>
      <c r="BH75" s="55"/>
      <c r="BI75" s="55"/>
    </row>
    <row r="76" spans="1:61" x14ac:dyDescent="0.3">
      <c r="A76" s="193" t="s">
        <v>427</v>
      </c>
      <c r="B76" s="194">
        <v>0.85199999999999998</v>
      </c>
      <c r="C76" s="194">
        <v>0.90900000000000003</v>
      </c>
      <c r="D76" s="194">
        <v>11</v>
      </c>
      <c r="E76" s="194">
        <v>0.86499999999999999</v>
      </c>
      <c r="F76" s="194">
        <v>0.81299999999999994</v>
      </c>
      <c r="G76" s="194">
        <v>16</v>
      </c>
      <c r="H76" s="194">
        <v>0.86399999999999999</v>
      </c>
      <c r="I76" s="194">
        <v>0.9</v>
      </c>
      <c r="J76" s="194">
        <v>10</v>
      </c>
      <c r="K76" s="194">
        <v>0.85399999999999998</v>
      </c>
      <c r="L76" s="194">
        <v>0.88900000000000001</v>
      </c>
      <c r="M76" s="194">
        <v>18</v>
      </c>
      <c r="N76" s="194">
        <v>0.82199999999999995</v>
      </c>
      <c r="O76" s="194">
        <v>0.76900000000000002</v>
      </c>
      <c r="P76" s="194">
        <v>13</v>
      </c>
      <c r="Q76" s="194">
        <v>0.69699999999999995</v>
      </c>
      <c r="R76" s="194">
        <v>0.78600000000000003</v>
      </c>
      <c r="S76" s="194">
        <v>14</v>
      </c>
      <c r="T76" s="194">
        <v>0.73499999999999999</v>
      </c>
      <c r="U76" s="194">
        <v>0.33300000000000002</v>
      </c>
      <c r="V76" s="194">
        <v>6</v>
      </c>
      <c r="W76" s="194">
        <v>0.7</v>
      </c>
      <c r="X76" s="194">
        <v>0.85699999999999998</v>
      </c>
      <c r="Y76" s="194">
        <v>14</v>
      </c>
      <c r="Z76" s="194">
        <v>0.86099999999999999</v>
      </c>
      <c r="AA76" s="194">
        <v>0.7</v>
      </c>
      <c r="AB76" s="194">
        <v>10</v>
      </c>
      <c r="AC76" s="194">
        <v>0.90700000000000003</v>
      </c>
      <c r="AD76" s="194">
        <v>1</v>
      </c>
      <c r="AE76" s="194">
        <v>12</v>
      </c>
      <c r="AF76" s="194">
        <v>0.89100000000000001</v>
      </c>
      <c r="AG76" s="194">
        <v>0.95199999999999996</v>
      </c>
      <c r="AH76" s="194">
        <v>21</v>
      </c>
      <c r="AI76" s="194">
        <v>0.85299999999999998</v>
      </c>
      <c r="AJ76" s="194">
        <v>0.69199999999999995</v>
      </c>
      <c r="AK76" s="194">
        <v>13</v>
      </c>
      <c r="AL76" s="55"/>
      <c r="AM76" s="55"/>
      <c r="AN76" s="55"/>
      <c r="AO76" s="55"/>
      <c r="AP76" s="55"/>
      <c r="AQ76" s="55"/>
      <c r="AR76" s="55"/>
      <c r="AS76" s="55"/>
      <c r="AT76" s="55"/>
      <c r="AU76" s="55"/>
      <c r="AV76" s="55"/>
      <c r="AW76" s="55"/>
      <c r="AX76" s="55"/>
      <c r="AY76" s="55"/>
      <c r="AZ76" s="55"/>
      <c r="BA76" s="55"/>
      <c r="BB76" s="55"/>
      <c r="BC76" s="55"/>
      <c r="BD76" s="55"/>
      <c r="BE76" s="55"/>
      <c r="BF76" s="55"/>
      <c r="BG76" s="55"/>
      <c r="BH76" s="55"/>
      <c r="BI76" s="55"/>
    </row>
    <row r="77" spans="1:61" x14ac:dyDescent="0.3">
      <c r="A77" s="193" t="s">
        <v>458</v>
      </c>
      <c r="B77" s="194">
        <v>0.875</v>
      </c>
      <c r="C77" s="194">
        <v>0.75</v>
      </c>
      <c r="D77" s="194">
        <v>8</v>
      </c>
      <c r="E77" s="194">
        <v>0.83299999999999996</v>
      </c>
      <c r="F77" s="194">
        <v>1</v>
      </c>
      <c r="G77" s="194">
        <v>8</v>
      </c>
      <c r="H77" s="194">
        <v>0.85199999999999998</v>
      </c>
      <c r="I77" s="194">
        <v>0.75</v>
      </c>
      <c r="J77" s="194">
        <v>8</v>
      </c>
      <c r="K77" s="194">
        <v>0.77800000000000002</v>
      </c>
      <c r="L77" s="194">
        <v>0.81799999999999995</v>
      </c>
      <c r="M77" s="194">
        <v>11</v>
      </c>
      <c r="N77" s="194">
        <v>0.71399999999999997</v>
      </c>
      <c r="O77" s="194">
        <v>0.75</v>
      </c>
      <c r="P77" s="194">
        <v>8</v>
      </c>
      <c r="Q77" s="194">
        <v>0.61499999999999999</v>
      </c>
      <c r="R77" s="194">
        <v>0.55600000000000005</v>
      </c>
      <c r="S77" s="194">
        <v>9</v>
      </c>
      <c r="T77" s="194">
        <v>0.55600000000000005</v>
      </c>
      <c r="U77" s="194">
        <v>0.55600000000000005</v>
      </c>
      <c r="V77" s="194">
        <v>9</v>
      </c>
      <c r="W77" s="194">
        <v>0.55200000000000005</v>
      </c>
      <c r="X77" s="194">
        <v>0.55600000000000005</v>
      </c>
      <c r="Y77" s="194">
        <v>9</v>
      </c>
      <c r="Z77" s="194">
        <v>0.53300000000000003</v>
      </c>
      <c r="AA77" s="194">
        <v>0.54500000000000004</v>
      </c>
      <c r="AB77" s="194">
        <v>11</v>
      </c>
      <c r="AC77" s="194">
        <v>0.58099999999999996</v>
      </c>
      <c r="AD77" s="194">
        <v>0.5</v>
      </c>
      <c r="AE77" s="194">
        <v>10</v>
      </c>
      <c r="AF77" s="194">
        <v>0.58099999999999996</v>
      </c>
      <c r="AG77" s="194">
        <v>0.7</v>
      </c>
      <c r="AH77" s="194">
        <v>10</v>
      </c>
      <c r="AI77" s="194">
        <v>0.61899999999999999</v>
      </c>
      <c r="AJ77" s="194">
        <v>0.54500000000000004</v>
      </c>
      <c r="AK77" s="194">
        <v>11</v>
      </c>
      <c r="AL77" s="55"/>
      <c r="AM77" s="55"/>
      <c r="AN77" s="55"/>
      <c r="AO77" s="55"/>
      <c r="AP77" s="55"/>
      <c r="AQ77" s="55"/>
      <c r="AR77" s="55"/>
      <c r="AS77" s="55"/>
      <c r="AT77" s="55"/>
      <c r="AU77" s="55"/>
      <c r="AV77" s="55"/>
      <c r="AW77" s="55"/>
      <c r="AX77" s="55"/>
      <c r="AY77" s="55"/>
      <c r="AZ77" s="55"/>
      <c r="BA77" s="55"/>
      <c r="BB77" s="55"/>
      <c r="BC77" s="55"/>
      <c r="BD77" s="55"/>
      <c r="BE77" s="55"/>
      <c r="BF77" s="55"/>
      <c r="BG77" s="55"/>
      <c r="BH77" s="55"/>
      <c r="BI77" s="55"/>
    </row>
    <row r="78" spans="1:61" x14ac:dyDescent="0.3">
      <c r="A78" s="193" t="s">
        <v>330</v>
      </c>
      <c r="B78" s="194">
        <v>0.41299999999999998</v>
      </c>
      <c r="C78" s="194">
        <v>0.33300000000000002</v>
      </c>
      <c r="D78" s="194">
        <v>24</v>
      </c>
      <c r="E78" s="194">
        <v>0.32900000000000001</v>
      </c>
      <c r="F78" s="194">
        <v>0.5</v>
      </c>
      <c r="G78" s="194">
        <v>22</v>
      </c>
      <c r="H78" s="194">
        <v>0.27300000000000002</v>
      </c>
      <c r="I78" s="194">
        <v>0.185</v>
      </c>
      <c r="J78" s="194">
        <v>27</v>
      </c>
      <c r="K78" s="194">
        <v>0.125</v>
      </c>
      <c r="L78" s="194">
        <v>0.11799999999999999</v>
      </c>
      <c r="M78" s="194">
        <v>17</v>
      </c>
      <c r="N78" s="194">
        <v>8.5000000000000006E-2</v>
      </c>
      <c r="O78" s="194">
        <v>0</v>
      </c>
      <c r="P78" s="194">
        <v>12</v>
      </c>
      <c r="Q78" s="194">
        <v>6.0999999999999999E-2</v>
      </c>
      <c r="R78" s="194">
        <v>0.111</v>
      </c>
      <c r="S78" s="194">
        <v>18</v>
      </c>
      <c r="T78" s="194">
        <v>6.9000000000000006E-2</v>
      </c>
      <c r="U78" s="194">
        <v>5.2999999999999999E-2</v>
      </c>
      <c r="V78" s="194">
        <v>19</v>
      </c>
      <c r="W78" s="194">
        <v>9.5000000000000001E-2</v>
      </c>
      <c r="X78" s="194">
        <v>4.8000000000000001E-2</v>
      </c>
      <c r="Y78" s="194">
        <v>21</v>
      </c>
      <c r="Z78" s="194">
        <v>0.152</v>
      </c>
      <c r="AA78" s="194">
        <v>0.17399999999999999</v>
      </c>
      <c r="AB78" s="194">
        <v>23</v>
      </c>
      <c r="AC78" s="194">
        <v>0.20499999999999999</v>
      </c>
      <c r="AD78" s="194">
        <v>0.22700000000000001</v>
      </c>
      <c r="AE78" s="194">
        <v>22</v>
      </c>
      <c r="AF78" s="194">
        <v>0.27300000000000002</v>
      </c>
      <c r="AG78" s="194">
        <v>0.214</v>
      </c>
      <c r="AH78" s="194">
        <v>28</v>
      </c>
      <c r="AI78" s="194">
        <v>0.29499999999999998</v>
      </c>
      <c r="AJ78" s="194">
        <v>0.438</v>
      </c>
      <c r="AK78" s="194">
        <v>16</v>
      </c>
      <c r="AL78" s="55"/>
      <c r="AM78" s="55"/>
      <c r="AN78" s="55"/>
      <c r="AO78" s="55"/>
      <c r="AP78" s="55"/>
      <c r="AQ78" s="55"/>
      <c r="AR78" s="55"/>
      <c r="AS78" s="55"/>
      <c r="AT78" s="55"/>
      <c r="AU78" s="55"/>
      <c r="AV78" s="55"/>
      <c r="AW78" s="55"/>
      <c r="AX78" s="55"/>
      <c r="AY78" s="55"/>
      <c r="AZ78" s="55"/>
      <c r="BA78" s="55"/>
      <c r="BB78" s="55"/>
      <c r="BC78" s="55"/>
      <c r="BD78" s="55"/>
      <c r="BE78" s="55"/>
      <c r="BF78" s="55"/>
      <c r="BG78" s="55"/>
      <c r="BH78" s="55"/>
      <c r="BI78" s="55"/>
    </row>
    <row r="79" spans="1:61" x14ac:dyDescent="0.3">
      <c r="A79" s="193" t="s">
        <v>404</v>
      </c>
      <c r="B79" s="194">
        <v>0.125</v>
      </c>
      <c r="C79" s="194">
        <v>0.2</v>
      </c>
      <c r="D79" s="194">
        <v>10</v>
      </c>
      <c r="E79" s="194">
        <v>0.27900000000000003</v>
      </c>
      <c r="F79" s="194">
        <v>7.0999999999999994E-2</v>
      </c>
      <c r="G79" s="194">
        <v>14</v>
      </c>
      <c r="H79" s="194">
        <v>0.5</v>
      </c>
      <c r="I79" s="194">
        <v>0.47399999999999998</v>
      </c>
      <c r="J79" s="194">
        <v>19</v>
      </c>
      <c r="K79" s="194">
        <v>0.70699999999999996</v>
      </c>
      <c r="L79" s="194">
        <v>0.81</v>
      </c>
      <c r="M79" s="194">
        <v>21</v>
      </c>
      <c r="N79" s="194">
        <v>0.80400000000000005</v>
      </c>
      <c r="O79" s="194">
        <v>0.83299999999999996</v>
      </c>
      <c r="P79" s="194">
        <v>18</v>
      </c>
      <c r="Q79" s="194">
        <v>0.73099999999999998</v>
      </c>
      <c r="R79" s="194">
        <v>0.75</v>
      </c>
      <c r="S79" s="194">
        <v>12</v>
      </c>
      <c r="T79" s="194">
        <v>0.57099999999999995</v>
      </c>
      <c r="U79" s="194">
        <v>0.63600000000000001</v>
      </c>
      <c r="V79" s="194">
        <v>22</v>
      </c>
      <c r="W79" s="194">
        <v>0.40799999999999997</v>
      </c>
      <c r="X79" s="194">
        <v>0.40899999999999997</v>
      </c>
      <c r="Y79" s="194">
        <v>22</v>
      </c>
      <c r="Z79" s="194">
        <v>0.41699999999999998</v>
      </c>
      <c r="AA79" s="194">
        <v>0.222</v>
      </c>
      <c r="AB79" s="194">
        <v>27</v>
      </c>
      <c r="AC79" s="194">
        <v>0.40300000000000002</v>
      </c>
      <c r="AD79" s="194">
        <v>0.65200000000000002</v>
      </c>
      <c r="AE79" s="194">
        <v>23</v>
      </c>
      <c r="AF79" s="194">
        <v>0.60299999999999998</v>
      </c>
      <c r="AG79" s="194">
        <v>0.36399999999999999</v>
      </c>
      <c r="AH79" s="194">
        <v>22</v>
      </c>
      <c r="AI79" s="194">
        <v>0.57799999999999996</v>
      </c>
      <c r="AJ79" s="194">
        <v>0.78300000000000003</v>
      </c>
      <c r="AK79" s="194">
        <v>23</v>
      </c>
      <c r="AL79" s="55"/>
      <c r="AM79" s="55"/>
      <c r="AN79" s="55"/>
      <c r="AO79" s="55"/>
      <c r="AP79" s="55"/>
      <c r="AQ79" s="55"/>
      <c r="AR79" s="55"/>
      <c r="AS79" s="55"/>
      <c r="AT79" s="55"/>
      <c r="AU79" s="55"/>
      <c r="AV79" s="55"/>
      <c r="AW79" s="55"/>
      <c r="AX79" s="55"/>
      <c r="AY79" s="55"/>
      <c r="AZ79" s="55"/>
      <c r="BA79" s="55"/>
      <c r="BB79" s="55"/>
      <c r="BC79" s="55"/>
      <c r="BD79" s="55"/>
      <c r="BE79" s="55"/>
      <c r="BF79" s="55"/>
      <c r="BG79" s="55"/>
      <c r="BH79" s="55"/>
      <c r="BI79" s="55"/>
    </row>
    <row r="80" spans="1:61" x14ac:dyDescent="0.3">
      <c r="A80" s="193" t="s">
        <v>504</v>
      </c>
      <c r="B80" s="194">
        <v>0.5</v>
      </c>
      <c r="C80" s="194">
        <v>0.375</v>
      </c>
      <c r="D80" s="194">
        <v>8</v>
      </c>
      <c r="E80" s="194">
        <v>0.59399999999999997</v>
      </c>
      <c r="F80" s="194">
        <v>0.6</v>
      </c>
      <c r="G80" s="194">
        <v>10</v>
      </c>
      <c r="H80" s="194">
        <v>0.55900000000000005</v>
      </c>
      <c r="I80" s="194">
        <v>0.71399999999999997</v>
      </c>
      <c r="J80" s="194">
        <v>14</v>
      </c>
      <c r="K80" s="194">
        <v>0.5</v>
      </c>
      <c r="L80" s="194">
        <v>0.3</v>
      </c>
      <c r="M80" s="194">
        <v>10</v>
      </c>
      <c r="N80" s="194">
        <v>0.28000000000000003</v>
      </c>
      <c r="O80" s="194">
        <v>0.33300000000000002</v>
      </c>
      <c r="P80" s="194">
        <v>6</v>
      </c>
      <c r="Q80" s="194">
        <v>0.28599999999999998</v>
      </c>
      <c r="R80" s="194">
        <v>0.222</v>
      </c>
      <c r="S80" s="194">
        <v>9</v>
      </c>
      <c r="T80" s="194">
        <v>0.17399999999999999</v>
      </c>
      <c r="U80" s="194">
        <v>0.33300000000000002</v>
      </c>
      <c r="V80" s="194">
        <v>6</v>
      </c>
      <c r="W80" s="194">
        <v>9.5000000000000001E-2</v>
      </c>
      <c r="X80" s="194">
        <v>0</v>
      </c>
      <c r="Y80" s="194">
        <v>8</v>
      </c>
      <c r="Z80" s="194">
        <v>7.0999999999999994E-2</v>
      </c>
      <c r="AA80" s="194">
        <v>0</v>
      </c>
      <c r="AB80" s="194">
        <v>7</v>
      </c>
      <c r="AC80" s="194">
        <v>0.156</v>
      </c>
      <c r="AD80" s="194">
        <v>0.154</v>
      </c>
      <c r="AE80" s="194">
        <v>13</v>
      </c>
      <c r="AF80" s="194">
        <v>0.20499999999999999</v>
      </c>
      <c r="AG80" s="194">
        <v>0.25</v>
      </c>
      <c r="AH80" s="194">
        <v>12</v>
      </c>
      <c r="AI80" s="194">
        <v>0.23100000000000001</v>
      </c>
      <c r="AJ80" s="194">
        <v>0.214</v>
      </c>
      <c r="AK80" s="194">
        <v>14</v>
      </c>
      <c r="AL80" s="55"/>
      <c r="AM80" s="55"/>
      <c r="AN80" s="55"/>
      <c r="AO80" s="55"/>
      <c r="AP80" s="55"/>
      <c r="AQ80" s="55"/>
      <c r="AR80" s="55"/>
      <c r="AS80" s="55"/>
      <c r="AT80" s="55"/>
      <c r="AU80" s="55"/>
      <c r="AV80" s="55"/>
      <c r="AW80" s="55"/>
      <c r="AX80" s="55"/>
      <c r="AY80" s="55"/>
      <c r="AZ80" s="55"/>
      <c r="BA80" s="55"/>
      <c r="BB80" s="55"/>
      <c r="BC80" s="55"/>
      <c r="BD80" s="55"/>
      <c r="BE80" s="55"/>
      <c r="BF80" s="55"/>
      <c r="BG80" s="55"/>
      <c r="BH80" s="55"/>
      <c r="BI80" s="55"/>
    </row>
    <row r="81" spans="1:61" x14ac:dyDescent="0.3">
      <c r="A81" s="193" t="s">
        <v>310</v>
      </c>
      <c r="B81" s="194">
        <v>0.45</v>
      </c>
      <c r="C81" s="194">
        <v>0.58299999999999996</v>
      </c>
      <c r="D81" s="194">
        <v>12</v>
      </c>
      <c r="E81" s="194">
        <v>0.46400000000000002</v>
      </c>
      <c r="F81" s="194">
        <v>0.25</v>
      </c>
      <c r="G81" s="194">
        <v>8</v>
      </c>
      <c r="H81" s="194">
        <v>0.40899999999999997</v>
      </c>
      <c r="I81" s="194">
        <v>0.5</v>
      </c>
      <c r="J81" s="194">
        <v>8</v>
      </c>
      <c r="K81" s="194">
        <v>0.52</v>
      </c>
      <c r="L81" s="194">
        <v>0.5</v>
      </c>
      <c r="M81" s="194">
        <v>6</v>
      </c>
      <c r="N81" s="194">
        <v>0.63</v>
      </c>
      <c r="O81" s="194">
        <v>0.54500000000000004</v>
      </c>
      <c r="P81" s="194">
        <v>11</v>
      </c>
      <c r="Q81" s="194">
        <v>0.67700000000000005</v>
      </c>
      <c r="R81" s="194">
        <v>0.8</v>
      </c>
      <c r="S81" s="194">
        <v>10</v>
      </c>
      <c r="T81" s="194">
        <v>0.71899999999999997</v>
      </c>
      <c r="U81" s="194">
        <v>0.7</v>
      </c>
      <c r="V81" s="194">
        <v>10</v>
      </c>
      <c r="W81" s="194">
        <v>0.76200000000000001</v>
      </c>
      <c r="X81" s="194">
        <v>0.66700000000000004</v>
      </c>
      <c r="Y81" s="194">
        <v>12</v>
      </c>
      <c r="Z81" s="194">
        <v>0.72299999999999998</v>
      </c>
      <c r="AA81" s="194">
        <v>0.85</v>
      </c>
      <c r="AB81" s="194">
        <v>20</v>
      </c>
      <c r="AC81" s="194">
        <v>0.77100000000000002</v>
      </c>
      <c r="AD81" s="194">
        <v>0.6</v>
      </c>
      <c r="AE81" s="194">
        <v>15</v>
      </c>
      <c r="AF81" s="194">
        <v>0.72299999999999998</v>
      </c>
      <c r="AG81" s="194">
        <v>0.84599999999999997</v>
      </c>
      <c r="AH81" s="194">
        <v>13</v>
      </c>
      <c r="AI81" s="194">
        <v>0.78100000000000003</v>
      </c>
      <c r="AJ81" s="194">
        <v>0.73699999999999999</v>
      </c>
      <c r="AK81" s="194">
        <v>19</v>
      </c>
      <c r="AL81" s="55"/>
      <c r="AM81" s="55"/>
      <c r="AN81" s="55"/>
      <c r="AO81" s="55"/>
      <c r="AP81" s="55"/>
      <c r="AQ81" s="55"/>
      <c r="AR81" s="55"/>
      <c r="AS81" s="55"/>
      <c r="AT81" s="55"/>
      <c r="AU81" s="55"/>
      <c r="AV81" s="55"/>
      <c r="AW81" s="55"/>
      <c r="AX81" s="55"/>
      <c r="AY81" s="55"/>
      <c r="AZ81" s="55"/>
      <c r="BA81" s="55"/>
      <c r="BB81" s="55"/>
      <c r="BC81" s="55"/>
      <c r="BD81" s="55"/>
      <c r="BE81" s="55"/>
      <c r="BF81" s="55"/>
      <c r="BG81" s="55"/>
      <c r="BH81" s="55"/>
      <c r="BI81" s="55"/>
    </row>
    <row r="82" spans="1:61" x14ac:dyDescent="0.3">
      <c r="A82" s="193" t="s">
        <v>498</v>
      </c>
      <c r="B82" s="194">
        <v>0.5</v>
      </c>
      <c r="C82" s="194">
        <v>0.5</v>
      </c>
      <c r="D82" s="194">
        <v>2</v>
      </c>
      <c r="E82" s="194">
        <v>0.4</v>
      </c>
      <c r="F82" s="194">
        <v>0.5</v>
      </c>
      <c r="G82" s="194">
        <v>2</v>
      </c>
      <c r="H82" s="194">
        <v>0.4</v>
      </c>
      <c r="I82" s="194">
        <v>0</v>
      </c>
      <c r="J82" s="194">
        <v>1</v>
      </c>
      <c r="K82" s="194">
        <v>0.16700000000000001</v>
      </c>
      <c r="L82" s="194">
        <v>0.5</v>
      </c>
      <c r="M82" s="194">
        <v>2</v>
      </c>
      <c r="N82" s="194">
        <v>0.16700000000000001</v>
      </c>
      <c r="O82" s="194">
        <v>0</v>
      </c>
      <c r="P82" s="194">
        <v>3</v>
      </c>
      <c r="Q82" s="194">
        <v>0</v>
      </c>
      <c r="R82" s="194">
        <v>0</v>
      </c>
      <c r="S82" s="194">
        <v>1</v>
      </c>
      <c r="T82" s="194">
        <v>0</v>
      </c>
      <c r="U82" s="194">
        <v>0</v>
      </c>
      <c r="V82" s="194">
        <v>1</v>
      </c>
      <c r="W82" s="194">
        <v>0</v>
      </c>
      <c r="X82" s="194">
        <v>0</v>
      </c>
      <c r="Y82" s="194">
        <v>4</v>
      </c>
      <c r="Z82" s="194">
        <v>0</v>
      </c>
      <c r="AA82" s="194"/>
      <c r="AB82" s="194"/>
      <c r="AC82" s="194">
        <v>0</v>
      </c>
      <c r="AD82" s="194">
        <v>0</v>
      </c>
      <c r="AE82" s="194">
        <v>1</v>
      </c>
      <c r="AF82" s="194">
        <v>0</v>
      </c>
      <c r="AG82" s="194">
        <v>0</v>
      </c>
      <c r="AH82" s="194">
        <v>3</v>
      </c>
      <c r="AI82" s="194">
        <v>0</v>
      </c>
      <c r="AJ82" s="194">
        <v>0</v>
      </c>
      <c r="AK82" s="194">
        <v>1</v>
      </c>
      <c r="AL82" s="55"/>
      <c r="AM82" s="55"/>
      <c r="AN82" s="55"/>
      <c r="AO82" s="55"/>
      <c r="AP82" s="55"/>
      <c r="AQ82" s="55"/>
      <c r="AR82" s="55"/>
      <c r="AS82" s="55"/>
      <c r="AT82" s="55"/>
      <c r="AU82" s="55"/>
      <c r="AV82" s="55"/>
      <c r="AW82" s="55"/>
      <c r="AX82" s="55"/>
      <c r="AY82" s="55"/>
      <c r="AZ82" s="55"/>
      <c r="BA82" s="55"/>
      <c r="BB82" s="55"/>
      <c r="BC82" s="55"/>
      <c r="BD82" s="55"/>
      <c r="BE82" s="55"/>
      <c r="BF82" s="55"/>
      <c r="BG82" s="55"/>
      <c r="BH82" s="55"/>
      <c r="BI82" s="55"/>
    </row>
    <row r="83" spans="1:61" x14ac:dyDescent="0.3">
      <c r="A83" s="193" t="s">
        <v>372</v>
      </c>
      <c r="B83" s="194">
        <v>0</v>
      </c>
      <c r="C83" s="194">
        <v>0</v>
      </c>
      <c r="D83" s="194">
        <v>3</v>
      </c>
      <c r="E83" s="194">
        <v>0</v>
      </c>
      <c r="F83" s="194">
        <v>0</v>
      </c>
      <c r="G83" s="194">
        <v>2</v>
      </c>
      <c r="H83" s="194">
        <v>0</v>
      </c>
      <c r="I83" s="194">
        <v>0</v>
      </c>
      <c r="J83" s="194">
        <v>4</v>
      </c>
      <c r="K83" s="194">
        <v>0</v>
      </c>
      <c r="L83" s="194">
        <v>0</v>
      </c>
      <c r="M83" s="194">
        <v>5</v>
      </c>
      <c r="N83" s="194">
        <v>0</v>
      </c>
      <c r="O83" s="194">
        <v>0</v>
      </c>
      <c r="P83" s="194">
        <v>7</v>
      </c>
      <c r="Q83" s="194">
        <v>0</v>
      </c>
      <c r="R83" s="194">
        <v>0</v>
      </c>
      <c r="S83" s="194">
        <v>6</v>
      </c>
      <c r="T83" s="194">
        <v>0.16700000000000001</v>
      </c>
      <c r="U83" s="194">
        <v>0</v>
      </c>
      <c r="V83" s="194">
        <v>9</v>
      </c>
      <c r="W83" s="194">
        <v>0.24</v>
      </c>
      <c r="X83" s="194">
        <v>0.44400000000000001</v>
      </c>
      <c r="Y83" s="194">
        <v>9</v>
      </c>
      <c r="Z83" s="194">
        <v>0.26100000000000001</v>
      </c>
      <c r="AA83" s="194">
        <v>0.28599999999999998</v>
      </c>
      <c r="AB83" s="194">
        <v>7</v>
      </c>
      <c r="AC83" s="194">
        <v>0.23799999999999999</v>
      </c>
      <c r="AD83" s="194">
        <v>0</v>
      </c>
      <c r="AE83" s="194">
        <v>7</v>
      </c>
      <c r="AF83" s="194">
        <v>0.33300000000000002</v>
      </c>
      <c r="AG83" s="194">
        <v>0.42899999999999999</v>
      </c>
      <c r="AH83" s="194">
        <v>7</v>
      </c>
      <c r="AI83" s="194">
        <v>0.47099999999999997</v>
      </c>
      <c r="AJ83" s="194">
        <v>0.5</v>
      </c>
      <c r="AK83" s="194">
        <v>10</v>
      </c>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row>
    <row r="84" spans="1:61" x14ac:dyDescent="0.3">
      <c r="A84" s="193" t="s">
        <v>354</v>
      </c>
      <c r="B84" s="194">
        <v>0.6</v>
      </c>
      <c r="C84" s="194">
        <v>0.5</v>
      </c>
      <c r="D84" s="194">
        <v>4</v>
      </c>
      <c r="E84" s="194">
        <v>0.58299999999999996</v>
      </c>
      <c r="F84" s="194">
        <v>1</v>
      </c>
      <c r="G84" s="194">
        <v>1</v>
      </c>
      <c r="H84" s="194">
        <v>0.375</v>
      </c>
      <c r="I84" s="194">
        <v>0.57099999999999995</v>
      </c>
      <c r="J84" s="194">
        <v>7</v>
      </c>
      <c r="K84" s="194">
        <v>0.38900000000000001</v>
      </c>
      <c r="L84" s="194">
        <v>0.125</v>
      </c>
      <c r="M84" s="194">
        <v>8</v>
      </c>
      <c r="N84" s="194">
        <v>0.23100000000000001</v>
      </c>
      <c r="O84" s="194">
        <v>0.66700000000000004</v>
      </c>
      <c r="P84" s="194">
        <v>3</v>
      </c>
      <c r="Q84" s="194">
        <v>0.35699999999999998</v>
      </c>
      <c r="R84" s="194">
        <v>0</v>
      </c>
      <c r="S84" s="194">
        <v>2</v>
      </c>
      <c r="T84" s="194">
        <v>0.38100000000000001</v>
      </c>
      <c r="U84" s="194">
        <v>0.33300000000000002</v>
      </c>
      <c r="V84" s="194">
        <v>9</v>
      </c>
      <c r="W84" s="194">
        <v>0.4</v>
      </c>
      <c r="X84" s="194">
        <v>0.5</v>
      </c>
      <c r="Y84" s="194">
        <v>10</v>
      </c>
      <c r="Z84" s="194">
        <v>0.42099999999999999</v>
      </c>
      <c r="AA84" s="194">
        <v>0.33300000000000002</v>
      </c>
      <c r="AB84" s="194">
        <v>6</v>
      </c>
      <c r="AC84" s="194">
        <v>0.41699999999999998</v>
      </c>
      <c r="AD84" s="194">
        <v>0.33300000000000002</v>
      </c>
      <c r="AE84" s="194">
        <v>3</v>
      </c>
      <c r="AF84" s="194">
        <v>0.55600000000000005</v>
      </c>
      <c r="AG84" s="194">
        <v>0.66700000000000004</v>
      </c>
      <c r="AH84" s="194">
        <v>3</v>
      </c>
      <c r="AI84" s="194">
        <v>0.66700000000000004</v>
      </c>
      <c r="AJ84" s="194">
        <v>0.66700000000000004</v>
      </c>
      <c r="AK84" s="194">
        <v>3</v>
      </c>
      <c r="AL84" s="55"/>
      <c r="AM84" s="55"/>
      <c r="AN84" s="55"/>
      <c r="AO84" s="55"/>
      <c r="AP84" s="55"/>
      <c r="AQ84" s="55"/>
      <c r="AR84" s="55"/>
      <c r="AS84" s="55"/>
      <c r="AT84" s="55"/>
      <c r="AU84" s="55"/>
      <c r="AV84" s="55"/>
      <c r="AW84" s="55"/>
      <c r="AX84" s="55"/>
      <c r="AY84" s="55"/>
      <c r="AZ84" s="55"/>
      <c r="BA84" s="55"/>
      <c r="BB84" s="55"/>
      <c r="BC84" s="55"/>
      <c r="BD84" s="55"/>
      <c r="BE84" s="55"/>
      <c r="BF84" s="55"/>
      <c r="BG84" s="55"/>
      <c r="BH84" s="55"/>
      <c r="BI84" s="55"/>
    </row>
    <row r="85" spans="1:61" x14ac:dyDescent="0.3">
      <c r="A85" s="193" t="s">
        <v>390</v>
      </c>
      <c r="B85" s="194">
        <v>0.42899999999999999</v>
      </c>
      <c r="C85" s="194">
        <v>0.46700000000000003</v>
      </c>
      <c r="D85" s="194">
        <v>30</v>
      </c>
      <c r="E85" s="194">
        <v>0.35099999999999998</v>
      </c>
      <c r="F85" s="194">
        <v>0.39400000000000002</v>
      </c>
      <c r="G85" s="194">
        <v>33</v>
      </c>
      <c r="H85" s="194">
        <v>0.35899999999999999</v>
      </c>
      <c r="I85" s="194">
        <v>0.20599999999999999</v>
      </c>
      <c r="J85" s="194">
        <v>34</v>
      </c>
      <c r="K85" s="194">
        <v>0.38500000000000001</v>
      </c>
      <c r="L85" s="194">
        <v>0.52</v>
      </c>
      <c r="M85" s="194">
        <v>25</v>
      </c>
      <c r="N85" s="194">
        <v>0.51500000000000001</v>
      </c>
      <c r="O85" s="194">
        <v>0.45900000000000002</v>
      </c>
      <c r="P85" s="194">
        <v>37</v>
      </c>
      <c r="Q85" s="194">
        <v>0.52700000000000002</v>
      </c>
      <c r="R85" s="194">
        <v>0.56399999999999995</v>
      </c>
      <c r="S85" s="194">
        <v>39</v>
      </c>
      <c r="T85" s="194">
        <v>0.627</v>
      </c>
      <c r="U85" s="194">
        <v>0.55900000000000005</v>
      </c>
      <c r="V85" s="194">
        <v>34</v>
      </c>
      <c r="W85" s="194">
        <v>0.61799999999999999</v>
      </c>
      <c r="X85" s="194">
        <v>0.75700000000000001</v>
      </c>
      <c r="Y85" s="194">
        <v>37</v>
      </c>
      <c r="Z85" s="194">
        <v>0.53800000000000003</v>
      </c>
      <c r="AA85" s="194">
        <v>0.53800000000000003</v>
      </c>
      <c r="AB85" s="194">
        <v>39</v>
      </c>
      <c r="AC85" s="194">
        <v>0.375</v>
      </c>
      <c r="AD85" s="194">
        <v>0.25</v>
      </c>
      <c r="AE85" s="194">
        <v>28</v>
      </c>
      <c r="AF85" s="194">
        <v>0.35799999999999998</v>
      </c>
      <c r="AG85" s="194">
        <v>0.27600000000000002</v>
      </c>
      <c r="AH85" s="194">
        <v>29</v>
      </c>
      <c r="AI85" s="194">
        <v>0.40300000000000002</v>
      </c>
      <c r="AJ85" s="194">
        <v>0.5</v>
      </c>
      <c r="AK85" s="194">
        <v>38</v>
      </c>
      <c r="AL85" s="55"/>
      <c r="AM85" s="55"/>
      <c r="AN85" s="55"/>
      <c r="AO85" s="55"/>
      <c r="AP85" s="55"/>
      <c r="AQ85" s="55"/>
      <c r="AR85" s="55"/>
      <c r="AS85" s="55"/>
      <c r="AT85" s="55"/>
      <c r="AU85" s="55"/>
      <c r="AV85" s="55"/>
      <c r="AW85" s="55"/>
      <c r="AX85" s="55"/>
      <c r="AY85" s="55"/>
      <c r="AZ85" s="55"/>
      <c r="BA85" s="55"/>
      <c r="BB85" s="55"/>
      <c r="BC85" s="55"/>
      <c r="BD85" s="55"/>
      <c r="BE85" s="55"/>
      <c r="BF85" s="55"/>
      <c r="BG85" s="55"/>
      <c r="BH85" s="55"/>
      <c r="BI85" s="55"/>
    </row>
    <row r="86" spans="1:61" x14ac:dyDescent="0.3">
      <c r="A86" s="193" t="s">
        <v>548</v>
      </c>
      <c r="B86" s="194">
        <v>0.93799999999999994</v>
      </c>
      <c r="C86" s="194">
        <v>1</v>
      </c>
      <c r="D86" s="194">
        <v>22</v>
      </c>
      <c r="E86" s="194">
        <v>0.95899999999999996</v>
      </c>
      <c r="F86" s="194">
        <v>0.8</v>
      </c>
      <c r="G86" s="194">
        <v>10</v>
      </c>
      <c r="H86" s="194">
        <v>0.91300000000000003</v>
      </c>
      <c r="I86" s="194">
        <v>1</v>
      </c>
      <c r="J86" s="194">
        <v>17</v>
      </c>
      <c r="K86" s="194">
        <v>0.92700000000000005</v>
      </c>
      <c r="L86" s="194">
        <v>0.89500000000000002</v>
      </c>
      <c r="M86" s="194">
        <v>19</v>
      </c>
      <c r="N86" s="194">
        <v>0.91200000000000003</v>
      </c>
      <c r="O86" s="194">
        <v>0.89500000000000002</v>
      </c>
      <c r="P86" s="194">
        <v>19</v>
      </c>
      <c r="Q86" s="194">
        <v>0.91400000000000003</v>
      </c>
      <c r="R86" s="194">
        <v>0.94699999999999995</v>
      </c>
      <c r="S86" s="194">
        <v>19</v>
      </c>
      <c r="T86" s="194">
        <v>0.94899999999999995</v>
      </c>
      <c r="U86" s="194">
        <v>0.9</v>
      </c>
      <c r="V86" s="194">
        <v>20</v>
      </c>
      <c r="W86" s="194">
        <v>0.95099999999999996</v>
      </c>
      <c r="X86" s="194">
        <v>1</v>
      </c>
      <c r="Y86" s="194">
        <v>20</v>
      </c>
      <c r="Z86" s="194">
        <v>0.93500000000000005</v>
      </c>
      <c r="AA86" s="194">
        <v>0.95199999999999996</v>
      </c>
      <c r="AB86" s="194">
        <v>21</v>
      </c>
      <c r="AC86" s="194">
        <v>0.90800000000000003</v>
      </c>
      <c r="AD86" s="194">
        <v>0.85699999999999998</v>
      </c>
      <c r="AE86" s="194">
        <v>21</v>
      </c>
      <c r="AF86" s="194">
        <v>0.91200000000000003</v>
      </c>
      <c r="AG86" s="194">
        <v>0.91300000000000003</v>
      </c>
      <c r="AH86" s="194">
        <v>23</v>
      </c>
      <c r="AI86" s="194">
        <v>0.93600000000000005</v>
      </c>
      <c r="AJ86" s="194">
        <v>0.95799999999999996</v>
      </c>
      <c r="AK86" s="194">
        <v>24</v>
      </c>
      <c r="AL86" s="55"/>
      <c r="AM86" s="55"/>
      <c r="AN86" s="55"/>
      <c r="AO86" s="55"/>
      <c r="AP86" s="55"/>
      <c r="AQ86" s="55"/>
      <c r="AR86" s="55"/>
      <c r="AS86" s="55"/>
      <c r="AT86" s="55"/>
      <c r="AU86" s="55"/>
      <c r="AV86" s="55"/>
      <c r="AW86" s="55"/>
      <c r="AX86" s="55"/>
      <c r="AY86" s="55"/>
      <c r="AZ86" s="55"/>
      <c r="BA86" s="55"/>
      <c r="BB86" s="55"/>
      <c r="BC86" s="55"/>
      <c r="BD86" s="55"/>
      <c r="BE86" s="55"/>
      <c r="BF86" s="55"/>
      <c r="BG86" s="55"/>
      <c r="BH86" s="55"/>
      <c r="BI86" s="55"/>
    </row>
    <row r="87" spans="1:61" x14ac:dyDescent="0.3">
      <c r="A87" s="193" t="s">
        <v>518</v>
      </c>
      <c r="B87" s="194">
        <v>0.40300000000000002</v>
      </c>
      <c r="C87" s="194">
        <v>0.29399999999999998</v>
      </c>
      <c r="D87" s="194">
        <v>34</v>
      </c>
      <c r="E87" s="194">
        <v>0.438</v>
      </c>
      <c r="F87" s="194">
        <v>0.51500000000000001</v>
      </c>
      <c r="G87" s="194">
        <v>33</v>
      </c>
      <c r="H87" s="194">
        <v>0.54800000000000004</v>
      </c>
      <c r="I87" s="194">
        <v>0.51700000000000002</v>
      </c>
      <c r="J87" s="194">
        <v>29</v>
      </c>
      <c r="K87" s="194">
        <v>0.67300000000000004</v>
      </c>
      <c r="L87" s="194">
        <v>0.61299999999999999</v>
      </c>
      <c r="M87" s="194">
        <v>31</v>
      </c>
      <c r="N87" s="194">
        <v>0.68</v>
      </c>
      <c r="O87" s="194">
        <v>0.81799999999999995</v>
      </c>
      <c r="P87" s="194">
        <v>44</v>
      </c>
      <c r="Q87" s="194">
        <v>0.70599999999999996</v>
      </c>
      <c r="R87" s="194">
        <v>0.52</v>
      </c>
      <c r="S87" s="194">
        <v>25</v>
      </c>
      <c r="T87" s="194">
        <v>0.66700000000000004</v>
      </c>
      <c r="U87" s="194">
        <v>0.69699999999999995</v>
      </c>
      <c r="V87" s="194">
        <v>33</v>
      </c>
      <c r="W87" s="194">
        <v>0.748</v>
      </c>
      <c r="X87" s="194">
        <v>0.75</v>
      </c>
      <c r="Y87" s="194">
        <v>32</v>
      </c>
      <c r="Z87" s="194">
        <v>0.77500000000000002</v>
      </c>
      <c r="AA87" s="194">
        <v>0.78</v>
      </c>
      <c r="AB87" s="194">
        <v>50</v>
      </c>
      <c r="AC87" s="194">
        <v>0.76400000000000001</v>
      </c>
      <c r="AD87" s="194">
        <v>0.79300000000000004</v>
      </c>
      <c r="AE87" s="194">
        <v>29</v>
      </c>
      <c r="AF87" s="194">
        <v>0.73499999999999999</v>
      </c>
      <c r="AG87" s="194">
        <v>0.72899999999999998</v>
      </c>
      <c r="AH87" s="194">
        <v>48</v>
      </c>
      <c r="AI87" s="194">
        <v>0.71599999999999997</v>
      </c>
      <c r="AJ87" s="194">
        <v>0.7</v>
      </c>
      <c r="AK87" s="194">
        <v>40</v>
      </c>
      <c r="AL87" s="55"/>
      <c r="AM87" s="55"/>
      <c r="AN87" s="55"/>
      <c r="AO87" s="55"/>
      <c r="AP87" s="55"/>
      <c r="AQ87" s="55"/>
      <c r="AR87" s="55"/>
      <c r="AS87" s="55"/>
      <c r="AT87" s="55"/>
      <c r="AU87" s="55"/>
      <c r="AV87" s="55"/>
      <c r="AW87" s="55"/>
      <c r="AX87" s="55"/>
      <c r="AY87" s="55"/>
      <c r="AZ87" s="55"/>
      <c r="BA87" s="55"/>
      <c r="BB87" s="55"/>
      <c r="BC87" s="55"/>
      <c r="BD87" s="55"/>
      <c r="BE87" s="55"/>
      <c r="BF87" s="55"/>
      <c r="BG87" s="55"/>
      <c r="BH87" s="55"/>
      <c r="BI87" s="55"/>
    </row>
    <row r="88" spans="1:61" x14ac:dyDescent="0.3">
      <c r="A88" s="193" t="s">
        <v>514</v>
      </c>
      <c r="B88" s="194">
        <v>0.25</v>
      </c>
      <c r="C88" s="194">
        <v>0</v>
      </c>
      <c r="D88" s="194">
        <v>2</v>
      </c>
      <c r="E88" s="194">
        <v>0.2</v>
      </c>
      <c r="F88" s="194">
        <v>0.5</v>
      </c>
      <c r="G88" s="194">
        <v>2</v>
      </c>
      <c r="H88" s="194">
        <v>0.2</v>
      </c>
      <c r="I88" s="194">
        <v>0</v>
      </c>
      <c r="J88" s="194">
        <v>1</v>
      </c>
      <c r="K88" s="194">
        <v>0</v>
      </c>
      <c r="L88" s="194">
        <v>0</v>
      </c>
      <c r="M88" s="194">
        <v>2</v>
      </c>
      <c r="N88" s="194">
        <v>0</v>
      </c>
      <c r="O88" s="194">
        <v>0</v>
      </c>
      <c r="P88" s="194">
        <v>3</v>
      </c>
      <c r="Q88" s="194">
        <v>0</v>
      </c>
      <c r="R88" s="194">
        <v>0</v>
      </c>
      <c r="S88" s="194">
        <v>1</v>
      </c>
      <c r="T88" s="194">
        <v>0</v>
      </c>
      <c r="U88" s="194">
        <v>0</v>
      </c>
      <c r="V88" s="194">
        <v>2</v>
      </c>
      <c r="W88" s="194">
        <v>0</v>
      </c>
      <c r="X88" s="194">
        <v>0</v>
      </c>
      <c r="Y88" s="194">
        <v>1</v>
      </c>
      <c r="Z88" s="194">
        <v>7.6999999999999999E-2</v>
      </c>
      <c r="AA88" s="194">
        <v>0</v>
      </c>
      <c r="AB88" s="194">
        <v>5</v>
      </c>
      <c r="AC88" s="194">
        <v>5.8999999999999997E-2</v>
      </c>
      <c r="AD88" s="194">
        <v>0.14299999999999999</v>
      </c>
      <c r="AE88" s="194">
        <v>7</v>
      </c>
      <c r="AF88" s="194">
        <v>5.8999999999999997E-2</v>
      </c>
      <c r="AG88" s="194">
        <v>0</v>
      </c>
      <c r="AH88" s="194">
        <v>5</v>
      </c>
      <c r="AI88" s="194">
        <v>0</v>
      </c>
      <c r="AJ88" s="194">
        <v>0</v>
      </c>
      <c r="AK88" s="194">
        <v>5</v>
      </c>
      <c r="AL88" s="55"/>
      <c r="AM88" s="55"/>
      <c r="AN88" s="55"/>
      <c r="AO88" s="55"/>
      <c r="AP88" s="55"/>
      <c r="AQ88" s="55"/>
      <c r="AR88" s="55"/>
      <c r="AS88" s="55"/>
      <c r="AT88" s="55"/>
      <c r="AU88" s="55"/>
      <c r="AV88" s="55"/>
      <c r="AW88" s="55"/>
      <c r="AX88" s="55"/>
      <c r="AY88" s="55"/>
      <c r="AZ88" s="55"/>
      <c r="BA88" s="55"/>
      <c r="BB88" s="55"/>
      <c r="BC88" s="55"/>
      <c r="BD88" s="55"/>
      <c r="BE88" s="55"/>
      <c r="BF88" s="55"/>
      <c r="BG88" s="55"/>
      <c r="BH88" s="55"/>
      <c r="BI88" s="55"/>
    </row>
    <row r="89" spans="1:61" x14ac:dyDescent="0.3">
      <c r="A89" s="193" t="s">
        <v>496</v>
      </c>
      <c r="B89" s="194">
        <v>0.60499999999999998</v>
      </c>
      <c r="C89" s="194">
        <v>0.59499999999999997</v>
      </c>
      <c r="D89" s="194">
        <v>37</v>
      </c>
      <c r="E89" s="194">
        <v>0.628</v>
      </c>
      <c r="F89" s="194">
        <v>0.61399999999999999</v>
      </c>
      <c r="G89" s="194">
        <v>44</v>
      </c>
      <c r="H89" s="194">
        <v>0.69099999999999995</v>
      </c>
      <c r="I89" s="194">
        <v>0.67500000000000004</v>
      </c>
      <c r="J89" s="194">
        <v>40</v>
      </c>
      <c r="K89" s="194">
        <v>0.67900000000000005</v>
      </c>
      <c r="L89" s="194">
        <v>0.79500000000000004</v>
      </c>
      <c r="M89" s="194">
        <v>39</v>
      </c>
      <c r="N89" s="194">
        <v>0.60599999999999998</v>
      </c>
      <c r="O89" s="194">
        <v>0.53300000000000003</v>
      </c>
      <c r="P89" s="194">
        <v>30</v>
      </c>
      <c r="Q89" s="194">
        <v>0.45100000000000001</v>
      </c>
      <c r="R89" s="194">
        <v>0.47499999999999998</v>
      </c>
      <c r="S89" s="194">
        <v>40</v>
      </c>
      <c r="T89" s="194">
        <v>0.44</v>
      </c>
      <c r="U89" s="194">
        <v>0.372</v>
      </c>
      <c r="V89" s="194">
        <v>43</v>
      </c>
      <c r="W89" s="194">
        <v>0.49</v>
      </c>
      <c r="X89" s="194">
        <v>0.48499999999999999</v>
      </c>
      <c r="Y89" s="194">
        <v>33</v>
      </c>
      <c r="Z89" s="194">
        <v>0.56000000000000005</v>
      </c>
      <c r="AA89" s="194">
        <v>0.72699999999999998</v>
      </c>
      <c r="AB89" s="194">
        <v>22</v>
      </c>
      <c r="AC89" s="194">
        <v>0.56399999999999995</v>
      </c>
      <c r="AD89" s="194">
        <v>0.52800000000000002</v>
      </c>
      <c r="AE89" s="194">
        <v>36</v>
      </c>
      <c r="AF89" s="194">
        <v>0.53800000000000003</v>
      </c>
      <c r="AG89" s="194">
        <v>0.51900000000000002</v>
      </c>
      <c r="AH89" s="194">
        <v>52</v>
      </c>
      <c r="AI89" s="194">
        <v>0.54300000000000004</v>
      </c>
      <c r="AJ89" s="194">
        <v>0.57099999999999995</v>
      </c>
      <c r="AK89" s="194">
        <v>42</v>
      </c>
      <c r="AL89" s="55"/>
      <c r="AM89" s="55"/>
      <c r="AN89" s="55"/>
      <c r="AO89" s="55"/>
      <c r="AP89" s="55"/>
      <c r="AQ89" s="55"/>
      <c r="AR89" s="55"/>
      <c r="AS89" s="55"/>
      <c r="AT89" s="55"/>
      <c r="AU89" s="55"/>
      <c r="AV89" s="55"/>
      <c r="AW89" s="55"/>
      <c r="AX89" s="55"/>
      <c r="AY89" s="55"/>
      <c r="AZ89" s="55"/>
      <c r="BA89" s="55"/>
      <c r="BB89" s="55"/>
      <c r="BC89" s="55"/>
      <c r="BD89" s="55"/>
      <c r="BE89" s="55"/>
      <c r="BF89" s="55"/>
      <c r="BG89" s="55"/>
      <c r="BH89" s="55"/>
      <c r="BI89" s="55"/>
    </row>
    <row r="90" spans="1:61" x14ac:dyDescent="0.3">
      <c r="A90" s="193" t="s">
        <v>359</v>
      </c>
      <c r="B90" s="194">
        <v>0.192</v>
      </c>
      <c r="C90" s="194">
        <v>0.25</v>
      </c>
      <c r="D90" s="194">
        <v>12</v>
      </c>
      <c r="E90" s="194">
        <v>0.154</v>
      </c>
      <c r="F90" s="194">
        <v>0.14299999999999999</v>
      </c>
      <c r="G90" s="194">
        <v>14</v>
      </c>
      <c r="H90" s="194">
        <v>8.3000000000000004E-2</v>
      </c>
      <c r="I90" s="194">
        <v>7.6999999999999999E-2</v>
      </c>
      <c r="J90" s="194">
        <v>13</v>
      </c>
      <c r="K90" s="194">
        <v>7.0999999999999994E-2</v>
      </c>
      <c r="L90" s="194">
        <v>4.8000000000000001E-2</v>
      </c>
      <c r="M90" s="194">
        <v>21</v>
      </c>
      <c r="N90" s="194">
        <v>5.6000000000000001E-2</v>
      </c>
      <c r="O90" s="194">
        <v>9.0999999999999998E-2</v>
      </c>
      <c r="P90" s="194">
        <v>22</v>
      </c>
      <c r="Q90" s="194">
        <v>7.6999999999999999E-2</v>
      </c>
      <c r="R90" s="194">
        <v>3.5999999999999997E-2</v>
      </c>
      <c r="S90" s="194">
        <v>28</v>
      </c>
      <c r="T90" s="194">
        <v>0.13</v>
      </c>
      <c r="U90" s="194">
        <v>0.13300000000000001</v>
      </c>
      <c r="V90" s="194">
        <v>15</v>
      </c>
      <c r="W90" s="194">
        <v>0.157</v>
      </c>
      <c r="X90" s="194">
        <v>0.36399999999999999</v>
      </c>
      <c r="Y90" s="194">
        <v>11</v>
      </c>
      <c r="Z90" s="194">
        <v>0.13500000000000001</v>
      </c>
      <c r="AA90" s="194">
        <v>0.08</v>
      </c>
      <c r="AB90" s="194">
        <v>25</v>
      </c>
      <c r="AC90" s="194">
        <v>5.8000000000000003E-2</v>
      </c>
      <c r="AD90" s="194">
        <v>6.3E-2</v>
      </c>
      <c r="AE90" s="194">
        <v>16</v>
      </c>
      <c r="AF90" s="194">
        <v>4.7E-2</v>
      </c>
      <c r="AG90" s="194">
        <v>3.5999999999999997E-2</v>
      </c>
      <c r="AH90" s="194">
        <v>28</v>
      </c>
      <c r="AI90" s="194">
        <v>4.2000000000000003E-2</v>
      </c>
      <c r="AJ90" s="194">
        <v>0.05</v>
      </c>
      <c r="AK90" s="194">
        <v>20</v>
      </c>
      <c r="AL90" s="55"/>
      <c r="AM90" s="55"/>
      <c r="AN90" s="55"/>
      <c r="AO90" s="55"/>
      <c r="AP90" s="55"/>
      <c r="AQ90" s="55"/>
      <c r="AR90" s="55"/>
      <c r="AS90" s="55"/>
      <c r="AT90" s="55"/>
      <c r="AU90" s="55"/>
      <c r="AV90" s="55"/>
      <c r="AW90" s="55"/>
      <c r="AX90" s="55"/>
      <c r="AY90" s="55"/>
      <c r="AZ90" s="55"/>
      <c r="BA90" s="55"/>
      <c r="BB90" s="55"/>
      <c r="BC90" s="55"/>
      <c r="BD90" s="55"/>
      <c r="BE90" s="55"/>
      <c r="BF90" s="55"/>
      <c r="BG90" s="55"/>
      <c r="BH90" s="55"/>
      <c r="BI90" s="55"/>
    </row>
    <row r="91" spans="1:61" x14ac:dyDescent="0.3">
      <c r="A91" s="193" t="s">
        <v>431</v>
      </c>
      <c r="B91" s="194">
        <v>0.35299999999999998</v>
      </c>
      <c r="C91" s="194">
        <v>0.16700000000000001</v>
      </c>
      <c r="D91" s="194">
        <v>6</v>
      </c>
      <c r="E91" s="194">
        <v>0.53100000000000003</v>
      </c>
      <c r="F91" s="194">
        <v>0.45500000000000002</v>
      </c>
      <c r="G91" s="194">
        <v>11</v>
      </c>
      <c r="H91" s="194">
        <v>0.58499999999999996</v>
      </c>
      <c r="I91" s="194">
        <v>0.73299999999999998</v>
      </c>
      <c r="J91" s="194">
        <v>15</v>
      </c>
      <c r="K91" s="194">
        <v>0.72499999999999998</v>
      </c>
      <c r="L91" s="194">
        <v>0.53300000000000003</v>
      </c>
      <c r="M91" s="194">
        <v>15</v>
      </c>
      <c r="N91" s="194">
        <v>0.73</v>
      </c>
      <c r="O91" s="194">
        <v>0.85699999999999998</v>
      </c>
      <c r="P91" s="194">
        <v>21</v>
      </c>
      <c r="Q91" s="194">
        <v>0.64700000000000002</v>
      </c>
      <c r="R91" s="194">
        <v>0.74099999999999999</v>
      </c>
      <c r="S91" s="194">
        <v>27</v>
      </c>
      <c r="T91" s="194">
        <v>0.56899999999999995</v>
      </c>
      <c r="U91" s="194">
        <v>0.3</v>
      </c>
      <c r="V91" s="194">
        <v>20</v>
      </c>
      <c r="W91" s="194">
        <v>0.45600000000000002</v>
      </c>
      <c r="X91" s="194">
        <v>0.61099999999999999</v>
      </c>
      <c r="Y91" s="194">
        <v>18</v>
      </c>
      <c r="Z91" s="194">
        <v>0.61099999999999999</v>
      </c>
      <c r="AA91" s="194">
        <v>0.46700000000000003</v>
      </c>
      <c r="AB91" s="194">
        <v>30</v>
      </c>
      <c r="AC91" s="194">
        <v>0.65300000000000002</v>
      </c>
      <c r="AD91" s="194">
        <v>0.79200000000000004</v>
      </c>
      <c r="AE91" s="194">
        <v>24</v>
      </c>
      <c r="AF91" s="194">
        <v>0.73099999999999998</v>
      </c>
      <c r="AG91" s="194">
        <v>0.77800000000000002</v>
      </c>
      <c r="AH91" s="194">
        <v>18</v>
      </c>
      <c r="AI91" s="194">
        <v>0.67900000000000005</v>
      </c>
      <c r="AJ91" s="194">
        <v>0.5</v>
      </c>
      <c r="AK91" s="194">
        <v>10</v>
      </c>
      <c r="AL91" s="55"/>
      <c r="AM91" s="55"/>
      <c r="AN91" s="55"/>
      <c r="AO91" s="55"/>
      <c r="AP91" s="55"/>
      <c r="AQ91" s="55"/>
      <c r="AR91" s="55"/>
      <c r="AS91" s="55"/>
      <c r="AT91" s="55"/>
      <c r="AU91" s="55"/>
      <c r="AV91" s="55"/>
      <c r="AW91" s="55"/>
      <c r="AX91" s="55"/>
      <c r="AY91" s="55"/>
      <c r="AZ91" s="55"/>
      <c r="BA91" s="55"/>
      <c r="BB91" s="55"/>
      <c r="BC91" s="55"/>
      <c r="BD91" s="55"/>
      <c r="BE91" s="55"/>
      <c r="BF91" s="55"/>
      <c r="BG91" s="55"/>
      <c r="BH91" s="55"/>
      <c r="BI91" s="55"/>
    </row>
    <row r="92" spans="1:61" x14ac:dyDescent="0.3">
      <c r="A92" s="193" t="s">
        <v>526</v>
      </c>
      <c r="B92" s="194">
        <v>4.3999999999999997E-2</v>
      </c>
      <c r="C92" s="194">
        <v>4.2000000000000003E-2</v>
      </c>
      <c r="D92" s="194">
        <v>24</v>
      </c>
      <c r="E92" s="194">
        <v>8.1000000000000003E-2</v>
      </c>
      <c r="F92" s="194">
        <v>4.8000000000000001E-2</v>
      </c>
      <c r="G92" s="194">
        <v>21</v>
      </c>
      <c r="H92" s="194">
        <v>9.5000000000000001E-2</v>
      </c>
      <c r="I92" s="194">
        <v>0.13800000000000001</v>
      </c>
      <c r="J92" s="194">
        <v>29</v>
      </c>
      <c r="K92" s="194">
        <v>0.105</v>
      </c>
      <c r="L92" s="194">
        <v>8.7999999999999995E-2</v>
      </c>
      <c r="M92" s="194">
        <v>34</v>
      </c>
      <c r="N92" s="194">
        <v>0.105</v>
      </c>
      <c r="O92" s="194">
        <v>8.6999999999999994E-2</v>
      </c>
      <c r="P92" s="194">
        <v>23</v>
      </c>
      <c r="Q92" s="194">
        <v>8.2000000000000003E-2</v>
      </c>
      <c r="R92" s="194">
        <v>0.158</v>
      </c>
      <c r="S92" s="194">
        <v>19</v>
      </c>
      <c r="T92" s="194">
        <v>0.27900000000000003</v>
      </c>
      <c r="U92" s="194">
        <v>3.2000000000000001E-2</v>
      </c>
      <c r="V92" s="194">
        <v>31</v>
      </c>
      <c r="W92" s="194">
        <v>0.39500000000000002</v>
      </c>
      <c r="X92" s="194">
        <v>0.83299999999999996</v>
      </c>
      <c r="Y92" s="194">
        <v>18</v>
      </c>
      <c r="Z92" s="194">
        <v>0.56899999999999995</v>
      </c>
      <c r="AA92" s="194">
        <v>0.5</v>
      </c>
      <c r="AB92" s="194">
        <v>32</v>
      </c>
      <c r="AC92" s="194">
        <v>0.46300000000000002</v>
      </c>
      <c r="AD92" s="194">
        <v>0.45500000000000002</v>
      </c>
      <c r="AE92" s="194">
        <v>22</v>
      </c>
      <c r="AF92" s="194">
        <v>0.51300000000000001</v>
      </c>
      <c r="AG92" s="194">
        <v>0.42299999999999999</v>
      </c>
      <c r="AH92" s="194">
        <v>26</v>
      </c>
      <c r="AI92" s="194">
        <v>0.53700000000000003</v>
      </c>
      <c r="AJ92" s="194">
        <v>0.64300000000000002</v>
      </c>
      <c r="AK92" s="194">
        <v>28</v>
      </c>
      <c r="AL92" s="55"/>
      <c r="AM92" s="55"/>
      <c r="AN92" s="55"/>
      <c r="AO92" s="55"/>
      <c r="AP92" s="55"/>
      <c r="AQ92" s="55"/>
      <c r="AR92" s="55"/>
      <c r="AS92" s="55"/>
      <c r="AT92" s="55"/>
      <c r="AU92" s="55"/>
      <c r="AV92" s="55"/>
      <c r="AW92" s="55"/>
      <c r="AX92" s="55"/>
      <c r="AY92" s="55"/>
      <c r="AZ92" s="55"/>
      <c r="BA92" s="55"/>
      <c r="BB92" s="55"/>
      <c r="BC92" s="55"/>
      <c r="BD92" s="55"/>
      <c r="BE92" s="55"/>
      <c r="BF92" s="55"/>
      <c r="BG92" s="55"/>
      <c r="BH92" s="55"/>
      <c r="BI92" s="55"/>
    </row>
    <row r="93" spans="1:61" x14ac:dyDescent="0.3">
      <c r="A93" s="193" t="s">
        <v>435</v>
      </c>
      <c r="B93" s="194">
        <v>0.65500000000000003</v>
      </c>
      <c r="C93" s="194">
        <v>0.71399999999999997</v>
      </c>
      <c r="D93" s="194">
        <v>28</v>
      </c>
      <c r="E93" s="194">
        <v>0.56000000000000005</v>
      </c>
      <c r="F93" s="194">
        <v>0.59299999999999997</v>
      </c>
      <c r="G93" s="194">
        <v>27</v>
      </c>
      <c r="H93" s="194">
        <v>0.45100000000000001</v>
      </c>
      <c r="I93" s="194">
        <v>0.379</v>
      </c>
      <c r="J93" s="194">
        <v>29</v>
      </c>
      <c r="K93" s="194">
        <v>0.33300000000000002</v>
      </c>
      <c r="L93" s="194">
        <v>0.38500000000000001</v>
      </c>
      <c r="M93" s="194">
        <v>26</v>
      </c>
      <c r="N93" s="194">
        <v>0.35299999999999998</v>
      </c>
      <c r="O93" s="194">
        <v>0.26300000000000001</v>
      </c>
      <c r="P93" s="194">
        <v>38</v>
      </c>
      <c r="Q93" s="194">
        <v>0.36</v>
      </c>
      <c r="R93" s="194">
        <v>0.42099999999999999</v>
      </c>
      <c r="S93" s="194">
        <v>38</v>
      </c>
      <c r="T93" s="194">
        <v>0.41</v>
      </c>
      <c r="U93" s="194">
        <v>0.4</v>
      </c>
      <c r="V93" s="194">
        <v>35</v>
      </c>
      <c r="W93" s="194">
        <v>0.41399999999999998</v>
      </c>
      <c r="X93" s="194">
        <v>0.40600000000000003</v>
      </c>
      <c r="Y93" s="194">
        <v>32</v>
      </c>
      <c r="Z93" s="194">
        <v>0.40600000000000003</v>
      </c>
      <c r="AA93" s="194">
        <v>0.438</v>
      </c>
      <c r="AB93" s="194">
        <v>32</v>
      </c>
      <c r="AC93" s="194">
        <v>0.39400000000000002</v>
      </c>
      <c r="AD93" s="194">
        <v>0.375</v>
      </c>
      <c r="AE93" s="194">
        <v>32</v>
      </c>
      <c r="AF93" s="194">
        <v>0.40400000000000003</v>
      </c>
      <c r="AG93" s="194">
        <v>0.371</v>
      </c>
      <c r="AH93" s="194">
        <v>35</v>
      </c>
      <c r="AI93" s="194">
        <v>0.41799999999999998</v>
      </c>
      <c r="AJ93" s="194">
        <v>0.46899999999999997</v>
      </c>
      <c r="AK93" s="194">
        <v>32</v>
      </c>
      <c r="AL93" s="55"/>
      <c r="AM93" s="55"/>
      <c r="AN93" s="55"/>
      <c r="AO93" s="55"/>
      <c r="AP93" s="55"/>
      <c r="AQ93" s="55"/>
      <c r="AR93" s="55"/>
      <c r="AS93" s="55"/>
      <c r="AT93" s="55"/>
      <c r="AU93" s="55"/>
      <c r="AV93" s="55"/>
      <c r="AW93" s="55"/>
      <c r="AX93" s="55"/>
      <c r="AY93" s="55"/>
      <c r="AZ93" s="55"/>
      <c r="BA93" s="55"/>
      <c r="BB93" s="55"/>
      <c r="BC93" s="55"/>
      <c r="BD93" s="55"/>
      <c r="BE93" s="55"/>
      <c r="BF93" s="55"/>
      <c r="BG93" s="55"/>
      <c r="BH93" s="55"/>
      <c r="BI93" s="55"/>
    </row>
    <row r="94" spans="1:61" x14ac:dyDescent="0.3">
      <c r="A94" s="193" t="s">
        <v>267</v>
      </c>
      <c r="B94" s="194">
        <v>0.42899999999999999</v>
      </c>
      <c r="C94" s="194">
        <v>0.36399999999999999</v>
      </c>
      <c r="D94" s="194">
        <v>11</v>
      </c>
      <c r="E94" s="194">
        <v>0.57599999999999996</v>
      </c>
      <c r="F94" s="194">
        <v>0.5</v>
      </c>
      <c r="G94" s="194">
        <v>10</v>
      </c>
      <c r="H94" s="194">
        <v>0.70499999999999996</v>
      </c>
      <c r="I94" s="194">
        <v>0.83299999999999996</v>
      </c>
      <c r="J94" s="194">
        <v>12</v>
      </c>
      <c r="K94" s="194">
        <v>0.78600000000000003</v>
      </c>
      <c r="L94" s="194">
        <v>0.72699999999999998</v>
      </c>
      <c r="M94" s="194">
        <v>22</v>
      </c>
      <c r="N94" s="194">
        <v>0.74199999999999999</v>
      </c>
      <c r="O94" s="194">
        <v>0.81799999999999995</v>
      </c>
      <c r="P94" s="194">
        <v>22</v>
      </c>
      <c r="Q94" s="194">
        <v>0.77800000000000002</v>
      </c>
      <c r="R94" s="194">
        <v>0.68200000000000005</v>
      </c>
      <c r="S94" s="194">
        <v>22</v>
      </c>
      <c r="T94" s="194">
        <v>0.76</v>
      </c>
      <c r="U94" s="194">
        <v>0.9</v>
      </c>
      <c r="V94" s="194">
        <v>10</v>
      </c>
      <c r="W94" s="194">
        <v>0.875</v>
      </c>
      <c r="X94" s="194">
        <v>0.77800000000000002</v>
      </c>
      <c r="Y94" s="194">
        <v>18</v>
      </c>
      <c r="Z94" s="194">
        <v>0.86699999999999999</v>
      </c>
      <c r="AA94" s="194">
        <v>1</v>
      </c>
      <c r="AB94" s="194">
        <v>12</v>
      </c>
      <c r="AC94" s="194">
        <v>0.88400000000000001</v>
      </c>
      <c r="AD94" s="194">
        <v>0.86699999999999999</v>
      </c>
      <c r="AE94" s="194">
        <v>15</v>
      </c>
      <c r="AF94" s="194">
        <v>0.88</v>
      </c>
      <c r="AG94" s="194">
        <v>0.81299999999999994</v>
      </c>
      <c r="AH94" s="194">
        <v>16</v>
      </c>
      <c r="AI94" s="194">
        <v>0.88600000000000001</v>
      </c>
      <c r="AJ94" s="194">
        <v>0.94699999999999995</v>
      </c>
      <c r="AK94" s="194">
        <v>19</v>
      </c>
      <c r="AL94" s="55"/>
      <c r="AM94" s="55"/>
      <c r="AN94" s="55"/>
      <c r="AO94" s="55"/>
      <c r="AP94" s="55"/>
      <c r="AQ94" s="55"/>
      <c r="AR94" s="55"/>
      <c r="AS94" s="55"/>
      <c r="AT94" s="55"/>
      <c r="AU94" s="55"/>
      <c r="AV94" s="55"/>
      <c r="AW94" s="55"/>
      <c r="AX94" s="55"/>
      <c r="AY94" s="55"/>
      <c r="AZ94" s="55"/>
      <c r="BA94" s="55"/>
      <c r="BB94" s="55"/>
      <c r="BC94" s="55"/>
      <c r="BD94" s="55"/>
      <c r="BE94" s="55"/>
      <c r="BF94" s="55"/>
      <c r="BG94" s="55"/>
      <c r="BH94" s="55"/>
      <c r="BI94" s="55"/>
    </row>
    <row r="95" spans="1:61" x14ac:dyDescent="0.3">
      <c r="A95" s="193" t="s">
        <v>484</v>
      </c>
      <c r="B95" s="194">
        <v>0.33300000000000002</v>
      </c>
      <c r="C95" s="194">
        <v>0.38100000000000001</v>
      </c>
      <c r="D95" s="194">
        <v>21</v>
      </c>
      <c r="E95" s="194">
        <v>0.42399999999999999</v>
      </c>
      <c r="F95" s="194">
        <v>0.27800000000000002</v>
      </c>
      <c r="G95" s="194">
        <v>18</v>
      </c>
      <c r="H95" s="194">
        <v>0.36799999999999999</v>
      </c>
      <c r="I95" s="194">
        <v>0.6</v>
      </c>
      <c r="J95" s="194">
        <v>20</v>
      </c>
      <c r="K95" s="194">
        <v>0.49299999999999999</v>
      </c>
      <c r="L95" s="194">
        <v>0.21099999999999999</v>
      </c>
      <c r="M95" s="194">
        <v>19</v>
      </c>
      <c r="N95" s="194">
        <v>0.6</v>
      </c>
      <c r="O95" s="194">
        <v>0.60699999999999998</v>
      </c>
      <c r="P95" s="194">
        <v>28</v>
      </c>
      <c r="Q95" s="194">
        <v>0.75900000000000001</v>
      </c>
      <c r="R95" s="194">
        <v>0.85699999999999998</v>
      </c>
      <c r="S95" s="194">
        <v>28</v>
      </c>
      <c r="T95" s="194">
        <v>0.85899999999999999</v>
      </c>
      <c r="U95" s="194">
        <v>0.82599999999999996</v>
      </c>
      <c r="V95" s="194">
        <v>23</v>
      </c>
      <c r="W95" s="194">
        <v>0.875</v>
      </c>
      <c r="X95" s="194">
        <v>0.92300000000000004</v>
      </c>
      <c r="Y95" s="194">
        <v>13</v>
      </c>
      <c r="Z95" s="194">
        <v>0.90600000000000003</v>
      </c>
      <c r="AA95" s="194">
        <v>0.9</v>
      </c>
      <c r="AB95" s="194">
        <v>20</v>
      </c>
      <c r="AC95" s="194">
        <v>0.94299999999999995</v>
      </c>
      <c r="AD95" s="194">
        <v>0.9</v>
      </c>
      <c r="AE95" s="194">
        <v>20</v>
      </c>
      <c r="AF95" s="194">
        <v>0.94799999999999995</v>
      </c>
      <c r="AG95" s="194">
        <v>1</v>
      </c>
      <c r="AH95" s="194">
        <v>30</v>
      </c>
      <c r="AI95" s="194">
        <v>0.96499999999999997</v>
      </c>
      <c r="AJ95" s="194">
        <v>0.92600000000000005</v>
      </c>
      <c r="AK95" s="194">
        <v>27</v>
      </c>
      <c r="AL95" s="55"/>
      <c r="AM95" s="55"/>
      <c r="AN95" s="55"/>
      <c r="AO95" s="55"/>
      <c r="AP95" s="55"/>
      <c r="AQ95" s="55"/>
      <c r="AR95" s="55"/>
      <c r="AS95" s="55"/>
      <c r="AT95" s="55"/>
      <c r="AU95" s="55"/>
      <c r="AV95" s="55"/>
      <c r="AW95" s="55"/>
      <c r="AX95" s="55"/>
      <c r="AY95" s="55"/>
      <c r="AZ95" s="55"/>
      <c r="BA95" s="55"/>
      <c r="BB95" s="55"/>
      <c r="BC95" s="55"/>
      <c r="BD95" s="55"/>
      <c r="BE95" s="55"/>
      <c r="BF95" s="55"/>
      <c r="BG95" s="55"/>
      <c r="BH95" s="55"/>
      <c r="BI95" s="55"/>
    </row>
    <row r="96" spans="1:61" x14ac:dyDescent="0.3">
      <c r="A96" s="193" t="s">
        <v>470</v>
      </c>
      <c r="B96" s="194">
        <v>0.161</v>
      </c>
      <c r="C96" s="194">
        <v>0.16700000000000001</v>
      </c>
      <c r="D96" s="194">
        <v>12</v>
      </c>
      <c r="E96" s="194">
        <v>0.14899999999999999</v>
      </c>
      <c r="F96" s="194">
        <v>0.158</v>
      </c>
      <c r="G96" s="194">
        <v>19</v>
      </c>
      <c r="H96" s="194">
        <v>0.20399999999999999</v>
      </c>
      <c r="I96" s="194">
        <v>0.125</v>
      </c>
      <c r="J96" s="194">
        <v>16</v>
      </c>
      <c r="K96" s="194">
        <v>0.245</v>
      </c>
      <c r="L96" s="194">
        <v>0.35699999999999998</v>
      </c>
      <c r="M96" s="194">
        <v>14</v>
      </c>
      <c r="N96" s="194">
        <v>0.314</v>
      </c>
      <c r="O96" s="194">
        <v>0.26300000000000001</v>
      </c>
      <c r="P96" s="194">
        <v>19</v>
      </c>
      <c r="Q96" s="194">
        <v>0.38800000000000001</v>
      </c>
      <c r="R96" s="194">
        <v>0.33300000000000002</v>
      </c>
      <c r="S96" s="194">
        <v>18</v>
      </c>
      <c r="T96" s="194">
        <v>0.46300000000000002</v>
      </c>
      <c r="U96" s="194">
        <v>0.66700000000000004</v>
      </c>
      <c r="V96" s="194">
        <v>12</v>
      </c>
      <c r="W96" s="194">
        <v>0.48399999999999999</v>
      </c>
      <c r="X96" s="194">
        <v>0.45800000000000002</v>
      </c>
      <c r="Y96" s="194">
        <v>24</v>
      </c>
      <c r="Z96" s="194">
        <v>0.48599999999999999</v>
      </c>
      <c r="AA96" s="194">
        <v>0.42299999999999999</v>
      </c>
      <c r="AB96" s="194">
        <v>26</v>
      </c>
      <c r="AC96" s="194">
        <v>0.70699999999999996</v>
      </c>
      <c r="AD96" s="194">
        <v>0.6</v>
      </c>
      <c r="AE96" s="194">
        <v>20</v>
      </c>
      <c r="AF96" s="194">
        <v>0.84799999999999998</v>
      </c>
      <c r="AG96" s="194">
        <v>0.97199999999999998</v>
      </c>
      <c r="AH96" s="194">
        <v>36</v>
      </c>
      <c r="AI96" s="194">
        <v>0.91700000000000004</v>
      </c>
      <c r="AJ96" s="194">
        <v>0.86099999999999999</v>
      </c>
      <c r="AK96" s="194">
        <v>36</v>
      </c>
      <c r="AL96" s="55"/>
      <c r="AM96" s="55"/>
      <c r="AN96" s="55"/>
      <c r="AO96" s="55"/>
      <c r="AP96" s="55"/>
      <c r="AQ96" s="55"/>
      <c r="AR96" s="55"/>
      <c r="AS96" s="55"/>
      <c r="AT96" s="55"/>
      <c r="AU96" s="55"/>
      <c r="AV96" s="55"/>
      <c r="AW96" s="55"/>
      <c r="AX96" s="55"/>
      <c r="AY96" s="55"/>
      <c r="AZ96" s="55"/>
      <c r="BA96" s="55"/>
      <c r="BB96" s="55"/>
      <c r="BC96" s="55"/>
      <c r="BD96" s="55"/>
      <c r="BE96" s="55"/>
      <c r="BF96" s="55"/>
      <c r="BG96" s="55"/>
      <c r="BH96" s="55"/>
      <c r="BI96" s="55"/>
    </row>
    <row r="97" spans="1:61" x14ac:dyDescent="0.3">
      <c r="A97" s="193" t="s">
        <v>530</v>
      </c>
      <c r="B97" s="194">
        <v>0.83299999999999996</v>
      </c>
      <c r="C97" s="194">
        <v>0.72699999999999998</v>
      </c>
      <c r="D97" s="194">
        <v>11</v>
      </c>
      <c r="E97" s="194">
        <v>0.85299999999999998</v>
      </c>
      <c r="F97" s="194">
        <v>0.92300000000000004</v>
      </c>
      <c r="G97" s="194">
        <v>13</v>
      </c>
      <c r="H97" s="194">
        <v>0.89700000000000002</v>
      </c>
      <c r="I97" s="194">
        <v>0.9</v>
      </c>
      <c r="J97" s="194">
        <v>10</v>
      </c>
      <c r="K97" s="194">
        <v>0.86399999999999999</v>
      </c>
      <c r="L97" s="194">
        <v>0.83299999999999996</v>
      </c>
      <c r="M97" s="194">
        <v>6</v>
      </c>
      <c r="N97" s="194">
        <v>0.82399999999999995</v>
      </c>
      <c r="O97" s="194">
        <v>0.83299999999999996</v>
      </c>
      <c r="P97" s="194">
        <v>6</v>
      </c>
      <c r="Q97" s="194">
        <v>0.875</v>
      </c>
      <c r="R97" s="194">
        <v>0.8</v>
      </c>
      <c r="S97" s="194">
        <v>5</v>
      </c>
      <c r="T97" s="194">
        <v>0.95199999999999996</v>
      </c>
      <c r="U97" s="194">
        <v>1</v>
      </c>
      <c r="V97" s="194">
        <v>5</v>
      </c>
      <c r="W97" s="194">
        <v>1</v>
      </c>
      <c r="X97" s="194">
        <v>1</v>
      </c>
      <c r="Y97" s="194">
        <v>11</v>
      </c>
      <c r="Z97" s="194">
        <v>0.96399999999999997</v>
      </c>
      <c r="AA97" s="194">
        <v>1</v>
      </c>
      <c r="AB97" s="194">
        <v>13</v>
      </c>
      <c r="AC97" s="194">
        <v>0.96</v>
      </c>
      <c r="AD97" s="194">
        <v>0.75</v>
      </c>
      <c r="AE97" s="194">
        <v>4</v>
      </c>
      <c r="AF97" s="194">
        <v>0.92900000000000005</v>
      </c>
      <c r="AG97" s="194">
        <v>1</v>
      </c>
      <c r="AH97" s="194">
        <v>8</v>
      </c>
      <c r="AI97" s="194">
        <v>1</v>
      </c>
      <c r="AJ97" s="194">
        <v>1</v>
      </c>
      <c r="AK97" s="194">
        <v>2</v>
      </c>
      <c r="AL97" s="55"/>
      <c r="AM97" s="55"/>
      <c r="AN97" s="55"/>
      <c r="AO97" s="55"/>
      <c r="AP97" s="55"/>
      <c r="AQ97" s="55"/>
      <c r="AR97" s="55"/>
      <c r="AS97" s="55"/>
      <c r="AT97" s="55"/>
      <c r="AU97" s="55"/>
      <c r="AV97" s="55"/>
      <c r="AW97" s="55"/>
      <c r="AX97" s="55"/>
      <c r="AY97" s="55"/>
      <c r="AZ97" s="55"/>
      <c r="BA97" s="55"/>
      <c r="BB97" s="55"/>
      <c r="BC97" s="55"/>
      <c r="BD97" s="55"/>
      <c r="BE97" s="55"/>
      <c r="BF97" s="55"/>
      <c r="BG97" s="55"/>
      <c r="BH97" s="55"/>
      <c r="BI97" s="55"/>
    </row>
    <row r="98" spans="1:61" x14ac:dyDescent="0.3">
      <c r="A98" s="193" t="s">
        <v>416</v>
      </c>
      <c r="B98" s="194">
        <v>5.3999999999999999E-2</v>
      </c>
      <c r="C98" s="194">
        <v>0.05</v>
      </c>
      <c r="D98" s="194">
        <v>40</v>
      </c>
      <c r="E98" s="194">
        <v>3.6999999999999998E-2</v>
      </c>
      <c r="F98" s="194">
        <v>5.7000000000000002E-2</v>
      </c>
      <c r="G98" s="194">
        <v>53</v>
      </c>
      <c r="H98" s="194">
        <v>4.2000000000000003E-2</v>
      </c>
      <c r="I98" s="194">
        <v>1.4999999999999999E-2</v>
      </c>
      <c r="J98" s="194">
        <v>68</v>
      </c>
      <c r="K98" s="194">
        <v>4.2999999999999997E-2</v>
      </c>
      <c r="L98" s="194">
        <v>5.8000000000000003E-2</v>
      </c>
      <c r="M98" s="194">
        <v>69</v>
      </c>
      <c r="N98" s="194">
        <v>6.5000000000000002E-2</v>
      </c>
      <c r="O98" s="194">
        <v>5.8999999999999997E-2</v>
      </c>
      <c r="P98" s="194">
        <v>51</v>
      </c>
      <c r="Q98" s="194">
        <v>7.0000000000000007E-2</v>
      </c>
      <c r="R98" s="194">
        <v>7.8E-2</v>
      </c>
      <c r="S98" s="194">
        <v>64</v>
      </c>
      <c r="T98" s="194">
        <v>9.5000000000000001E-2</v>
      </c>
      <c r="U98" s="194">
        <v>7.0000000000000007E-2</v>
      </c>
      <c r="V98" s="194">
        <v>57</v>
      </c>
      <c r="W98" s="194">
        <v>9.7000000000000003E-2</v>
      </c>
      <c r="X98" s="194">
        <v>0.13200000000000001</v>
      </c>
      <c r="Y98" s="194">
        <v>68</v>
      </c>
      <c r="Z98" s="194">
        <v>0.108</v>
      </c>
      <c r="AA98" s="194">
        <v>8.2000000000000003E-2</v>
      </c>
      <c r="AB98" s="194">
        <v>61</v>
      </c>
      <c r="AC98" s="194">
        <v>0.106</v>
      </c>
      <c r="AD98" s="194">
        <v>0.108</v>
      </c>
      <c r="AE98" s="194">
        <v>74</v>
      </c>
      <c r="AF98" s="194">
        <v>0.11899999999999999</v>
      </c>
      <c r="AG98" s="194">
        <v>0.125</v>
      </c>
      <c r="AH98" s="194">
        <v>72</v>
      </c>
      <c r="AI98" s="194">
        <v>0.126</v>
      </c>
      <c r="AJ98" s="194">
        <v>0.128</v>
      </c>
      <c r="AK98" s="194">
        <v>47</v>
      </c>
      <c r="AL98" s="55"/>
      <c r="AM98" s="55"/>
      <c r="AN98" s="55"/>
      <c r="AO98" s="55"/>
      <c r="AP98" s="55"/>
      <c r="AQ98" s="55"/>
      <c r="AR98" s="55"/>
      <c r="AS98" s="55"/>
      <c r="AT98" s="55"/>
      <c r="AU98" s="55"/>
      <c r="AV98" s="55"/>
      <c r="AW98" s="55"/>
      <c r="AX98" s="55"/>
      <c r="AY98" s="55"/>
      <c r="AZ98" s="55"/>
      <c r="BA98" s="55"/>
      <c r="BB98" s="55"/>
      <c r="BC98" s="55"/>
      <c r="BD98" s="55"/>
      <c r="BE98" s="55"/>
      <c r="BF98" s="55"/>
      <c r="BG98" s="55"/>
      <c r="BH98" s="55"/>
      <c r="BI98" s="55"/>
    </row>
    <row r="99" spans="1:61" x14ac:dyDescent="0.3">
      <c r="A99" s="193" t="s">
        <v>350</v>
      </c>
      <c r="B99" s="194">
        <v>0.52600000000000002</v>
      </c>
      <c r="C99" s="194">
        <v>0.4</v>
      </c>
      <c r="D99" s="194">
        <v>5</v>
      </c>
      <c r="E99" s="194">
        <v>0.58099999999999996</v>
      </c>
      <c r="F99" s="194">
        <v>0.57099999999999995</v>
      </c>
      <c r="G99" s="194">
        <v>14</v>
      </c>
      <c r="H99" s="194">
        <v>0.61299999999999999</v>
      </c>
      <c r="I99" s="194">
        <v>0.66700000000000004</v>
      </c>
      <c r="J99" s="194">
        <v>12</v>
      </c>
      <c r="K99" s="194">
        <v>0.625</v>
      </c>
      <c r="L99" s="194">
        <v>0.6</v>
      </c>
      <c r="M99" s="194">
        <v>5</v>
      </c>
      <c r="N99" s="194">
        <v>0.64700000000000002</v>
      </c>
      <c r="O99" s="194">
        <v>0.57099999999999995</v>
      </c>
      <c r="P99" s="194">
        <v>7</v>
      </c>
      <c r="Q99" s="194">
        <v>0.47099999999999997</v>
      </c>
      <c r="R99" s="194">
        <v>0.8</v>
      </c>
      <c r="S99" s="194">
        <v>5</v>
      </c>
      <c r="T99" s="194">
        <v>0.58799999999999997</v>
      </c>
      <c r="U99" s="194">
        <v>0</v>
      </c>
      <c r="V99" s="194">
        <v>5</v>
      </c>
      <c r="W99" s="194">
        <v>0.63200000000000001</v>
      </c>
      <c r="X99" s="194">
        <v>0.85699999999999998</v>
      </c>
      <c r="Y99" s="194">
        <v>7</v>
      </c>
      <c r="Z99" s="194">
        <v>0.74199999999999999</v>
      </c>
      <c r="AA99" s="194">
        <v>0.85699999999999998</v>
      </c>
      <c r="AB99" s="194">
        <v>7</v>
      </c>
      <c r="AC99" s="194">
        <v>0.71</v>
      </c>
      <c r="AD99" s="194">
        <v>0.64700000000000002</v>
      </c>
      <c r="AE99" s="194">
        <v>17</v>
      </c>
      <c r="AF99" s="194">
        <v>0.67600000000000005</v>
      </c>
      <c r="AG99" s="194">
        <v>0.71399999999999997</v>
      </c>
      <c r="AH99" s="194">
        <v>7</v>
      </c>
      <c r="AI99" s="194">
        <v>0.70599999999999996</v>
      </c>
      <c r="AJ99" s="194">
        <v>0.7</v>
      </c>
      <c r="AK99" s="194">
        <v>10</v>
      </c>
      <c r="AL99" s="55"/>
      <c r="AM99" s="55"/>
      <c r="AN99" s="55"/>
      <c r="AO99" s="55"/>
      <c r="AP99" s="55"/>
      <c r="AQ99" s="55"/>
      <c r="AR99" s="55"/>
      <c r="AS99" s="55"/>
      <c r="AT99" s="55"/>
      <c r="AU99" s="55"/>
      <c r="AV99" s="55"/>
      <c r="AW99" s="55"/>
      <c r="AX99" s="55"/>
      <c r="AY99" s="55"/>
      <c r="AZ99" s="55"/>
      <c r="BA99" s="55"/>
      <c r="BB99" s="55"/>
      <c r="BC99" s="55"/>
      <c r="BD99" s="55"/>
      <c r="BE99" s="55"/>
      <c r="BF99" s="55"/>
      <c r="BG99" s="55"/>
      <c r="BH99" s="55"/>
      <c r="BI99" s="55"/>
    </row>
    <row r="100" spans="1:61" x14ac:dyDescent="0.3">
      <c r="A100" s="193" t="s">
        <v>341</v>
      </c>
      <c r="B100" s="194">
        <v>0.70299999999999996</v>
      </c>
      <c r="C100" s="194">
        <v>0.73699999999999999</v>
      </c>
      <c r="D100" s="194">
        <v>38</v>
      </c>
      <c r="E100" s="194">
        <v>0.68600000000000005</v>
      </c>
      <c r="F100" s="194">
        <v>0.66700000000000004</v>
      </c>
      <c r="G100" s="194">
        <v>36</v>
      </c>
      <c r="H100" s="194">
        <v>0.64400000000000002</v>
      </c>
      <c r="I100" s="194">
        <v>0.64300000000000002</v>
      </c>
      <c r="J100" s="194">
        <v>28</v>
      </c>
      <c r="K100" s="194">
        <v>0.67900000000000005</v>
      </c>
      <c r="L100" s="194">
        <v>0.60899999999999999</v>
      </c>
      <c r="M100" s="194">
        <v>23</v>
      </c>
      <c r="N100" s="194">
        <v>0.61199999999999999</v>
      </c>
      <c r="O100" s="194">
        <v>0.75800000000000001</v>
      </c>
      <c r="P100" s="194">
        <v>33</v>
      </c>
      <c r="Q100" s="194">
        <v>0.67</v>
      </c>
      <c r="R100" s="194">
        <v>0.44800000000000001</v>
      </c>
      <c r="S100" s="194">
        <v>29</v>
      </c>
      <c r="T100" s="194">
        <v>0.71299999999999997</v>
      </c>
      <c r="U100" s="194">
        <v>0.77100000000000002</v>
      </c>
      <c r="V100" s="194">
        <v>35</v>
      </c>
      <c r="W100" s="194">
        <v>0.86099999999999999</v>
      </c>
      <c r="X100" s="194">
        <v>0.9</v>
      </c>
      <c r="Y100" s="194">
        <v>30</v>
      </c>
      <c r="Z100" s="194">
        <v>0.91200000000000003</v>
      </c>
      <c r="AA100" s="194">
        <v>0.91700000000000004</v>
      </c>
      <c r="AB100" s="194">
        <v>36</v>
      </c>
      <c r="AC100" s="194">
        <v>0.93300000000000005</v>
      </c>
      <c r="AD100" s="194">
        <v>0.91700000000000004</v>
      </c>
      <c r="AE100" s="194">
        <v>36</v>
      </c>
      <c r="AF100" s="194">
        <v>0.93799999999999994</v>
      </c>
      <c r="AG100" s="194">
        <v>0.95699999999999996</v>
      </c>
      <c r="AH100" s="194">
        <v>47</v>
      </c>
      <c r="AI100" s="194">
        <v>0.94599999999999995</v>
      </c>
      <c r="AJ100" s="194">
        <v>0.93500000000000005</v>
      </c>
      <c r="AK100" s="194">
        <v>46</v>
      </c>
      <c r="AL100" s="55"/>
      <c r="AM100" s="55"/>
      <c r="AN100" s="55"/>
      <c r="AO100" s="55"/>
      <c r="AP100" s="55"/>
      <c r="AQ100" s="55"/>
      <c r="AR100" s="55"/>
      <c r="AS100" s="55"/>
      <c r="AT100" s="55"/>
      <c r="AU100" s="55"/>
      <c r="AV100" s="55"/>
      <c r="AW100" s="55"/>
      <c r="AX100" s="55"/>
      <c r="AY100" s="55"/>
      <c r="AZ100" s="55"/>
      <c r="BA100" s="55"/>
      <c r="BB100" s="55"/>
      <c r="BC100" s="55"/>
      <c r="BD100" s="55"/>
      <c r="BE100" s="55"/>
      <c r="BF100" s="55"/>
      <c r="BG100" s="55"/>
      <c r="BH100" s="55"/>
      <c r="BI100" s="55"/>
    </row>
    <row r="101" spans="1:61" x14ac:dyDescent="0.3">
      <c r="A101" s="193" t="s">
        <v>423</v>
      </c>
      <c r="B101" s="194">
        <v>0.88</v>
      </c>
      <c r="C101" s="194">
        <v>0.86699999999999999</v>
      </c>
      <c r="D101" s="194">
        <v>15</v>
      </c>
      <c r="E101" s="194">
        <v>0.86499999999999999</v>
      </c>
      <c r="F101" s="194">
        <v>0.9</v>
      </c>
      <c r="G101" s="194">
        <v>10</v>
      </c>
      <c r="H101" s="194">
        <v>0.84799999999999998</v>
      </c>
      <c r="I101" s="194">
        <v>0.83299999999999996</v>
      </c>
      <c r="J101" s="194">
        <v>12</v>
      </c>
      <c r="K101" s="194">
        <v>0.82399999999999995</v>
      </c>
      <c r="L101" s="194">
        <v>0.81799999999999995</v>
      </c>
      <c r="M101" s="194">
        <v>11</v>
      </c>
      <c r="N101" s="194">
        <v>0.76500000000000001</v>
      </c>
      <c r="O101" s="194">
        <v>0.81799999999999995</v>
      </c>
      <c r="P101" s="194">
        <v>11</v>
      </c>
      <c r="Q101" s="194">
        <v>0.73299999999999998</v>
      </c>
      <c r="R101" s="194">
        <v>0.66700000000000004</v>
      </c>
      <c r="S101" s="194">
        <v>12</v>
      </c>
      <c r="T101" s="194">
        <v>0.64400000000000002</v>
      </c>
      <c r="U101" s="194">
        <v>0.72699999999999998</v>
      </c>
      <c r="V101" s="194">
        <v>22</v>
      </c>
      <c r="W101" s="194">
        <v>0.66700000000000004</v>
      </c>
      <c r="X101" s="194">
        <v>0.45500000000000002</v>
      </c>
      <c r="Y101" s="194">
        <v>11</v>
      </c>
      <c r="Z101" s="194">
        <v>0.63600000000000001</v>
      </c>
      <c r="AA101" s="194">
        <v>0.72199999999999998</v>
      </c>
      <c r="AB101" s="194">
        <v>18</v>
      </c>
      <c r="AC101" s="194">
        <v>0.70799999999999996</v>
      </c>
      <c r="AD101" s="194">
        <v>0.65400000000000003</v>
      </c>
      <c r="AE101" s="194">
        <v>26</v>
      </c>
      <c r="AF101" s="194">
        <v>0.754</v>
      </c>
      <c r="AG101" s="194">
        <v>0.76200000000000001</v>
      </c>
      <c r="AH101" s="194">
        <v>21</v>
      </c>
      <c r="AI101" s="194">
        <v>0.82099999999999995</v>
      </c>
      <c r="AJ101" s="194">
        <v>0.88900000000000001</v>
      </c>
      <c r="AK101" s="194">
        <v>18</v>
      </c>
      <c r="AL101" s="55"/>
      <c r="AM101" s="55"/>
      <c r="AN101" s="55"/>
      <c r="AO101" s="55"/>
      <c r="AP101" s="55"/>
      <c r="AQ101" s="55"/>
      <c r="AR101" s="55"/>
      <c r="AS101" s="55"/>
      <c r="AT101" s="55"/>
      <c r="AU101" s="55"/>
      <c r="AV101" s="55"/>
      <c r="AW101" s="55"/>
      <c r="AX101" s="55"/>
      <c r="AY101" s="55"/>
      <c r="AZ101" s="55"/>
      <c r="BA101" s="55"/>
      <c r="BB101" s="55"/>
      <c r="BC101" s="55"/>
      <c r="BD101" s="55"/>
      <c r="BE101" s="55"/>
      <c r="BF101" s="55"/>
      <c r="BG101" s="55"/>
      <c r="BH101" s="55"/>
      <c r="BI101" s="55"/>
    </row>
    <row r="102" spans="1:61" x14ac:dyDescent="0.3">
      <c r="A102" s="193" t="s">
        <v>374</v>
      </c>
      <c r="B102" s="194">
        <v>6.0999999999999999E-2</v>
      </c>
      <c r="C102" s="194">
        <v>7.0999999999999994E-2</v>
      </c>
      <c r="D102" s="194">
        <v>28</v>
      </c>
      <c r="E102" s="194">
        <v>0.11600000000000001</v>
      </c>
      <c r="F102" s="194">
        <v>4.8000000000000001E-2</v>
      </c>
      <c r="G102" s="194">
        <v>21</v>
      </c>
      <c r="H102" s="194">
        <v>0.129</v>
      </c>
      <c r="I102" s="194">
        <v>0.25</v>
      </c>
      <c r="J102" s="194">
        <v>20</v>
      </c>
      <c r="K102" s="194">
        <v>0.13</v>
      </c>
      <c r="L102" s="194">
        <v>0.10299999999999999</v>
      </c>
      <c r="M102" s="194">
        <v>29</v>
      </c>
      <c r="N102" s="194">
        <v>0.09</v>
      </c>
      <c r="O102" s="194">
        <v>0.05</v>
      </c>
      <c r="P102" s="194">
        <v>20</v>
      </c>
      <c r="Q102" s="194">
        <v>9.0999999999999998E-2</v>
      </c>
      <c r="R102" s="194">
        <v>0.10299999999999999</v>
      </c>
      <c r="S102" s="194">
        <v>29</v>
      </c>
      <c r="T102" s="194">
        <v>7.2999999999999995E-2</v>
      </c>
      <c r="U102" s="194">
        <v>0.107</v>
      </c>
      <c r="V102" s="194">
        <v>28</v>
      </c>
      <c r="W102" s="194">
        <v>6.5000000000000002E-2</v>
      </c>
      <c r="X102" s="194">
        <v>0</v>
      </c>
      <c r="Y102" s="194">
        <v>25</v>
      </c>
      <c r="Z102" s="194">
        <v>5.6000000000000001E-2</v>
      </c>
      <c r="AA102" s="194">
        <v>8.3000000000000004E-2</v>
      </c>
      <c r="AB102" s="194">
        <v>24</v>
      </c>
      <c r="AC102" s="194">
        <v>4.8000000000000001E-2</v>
      </c>
      <c r="AD102" s="194">
        <v>8.6999999999999994E-2</v>
      </c>
      <c r="AE102" s="194">
        <v>23</v>
      </c>
      <c r="AF102" s="194">
        <v>3.1E-2</v>
      </c>
      <c r="AG102" s="194">
        <v>0</v>
      </c>
      <c r="AH102" s="194">
        <v>36</v>
      </c>
      <c r="AI102" s="194">
        <v>1.2999999999999999E-2</v>
      </c>
      <c r="AJ102" s="194">
        <v>2.5999999999999999E-2</v>
      </c>
      <c r="AK102" s="194">
        <v>39</v>
      </c>
      <c r="AL102" s="55"/>
      <c r="AM102" s="55"/>
      <c r="AN102" s="55"/>
      <c r="AO102" s="55"/>
      <c r="AP102" s="55"/>
      <c r="AQ102" s="55"/>
      <c r="AR102" s="55"/>
      <c r="AS102" s="55"/>
      <c r="AT102" s="55"/>
      <c r="AU102" s="55"/>
      <c r="AV102" s="55"/>
      <c r="AW102" s="55"/>
      <c r="AX102" s="55"/>
      <c r="AY102" s="55"/>
      <c r="AZ102" s="55"/>
      <c r="BA102" s="55"/>
      <c r="BB102" s="55"/>
      <c r="BC102" s="55"/>
      <c r="BD102" s="55"/>
      <c r="BE102" s="55"/>
      <c r="BF102" s="55"/>
      <c r="BG102" s="55"/>
      <c r="BH102" s="55"/>
      <c r="BI102" s="55"/>
    </row>
    <row r="103" spans="1:61" x14ac:dyDescent="0.3">
      <c r="A103" s="193" t="s">
        <v>512</v>
      </c>
      <c r="B103" s="194">
        <v>0.63400000000000001</v>
      </c>
      <c r="C103" s="194">
        <v>0.69199999999999995</v>
      </c>
      <c r="D103" s="194">
        <v>26</v>
      </c>
      <c r="E103" s="194">
        <v>0.68400000000000005</v>
      </c>
      <c r="F103" s="194">
        <v>0.53300000000000003</v>
      </c>
      <c r="G103" s="194">
        <v>15</v>
      </c>
      <c r="H103" s="194">
        <v>0.63300000000000001</v>
      </c>
      <c r="I103" s="194">
        <v>0.81299999999999994</v>
      </c>
      <c r="J103" s="194">
        <v>16</v>
      </c>
      <c r="K103" s="194">
        <v>0.66200000000000003</v>
      </c>
      <c r="L103" s="194">
        <v>0.58599999999999997</v>
      </c>
      <c r="M103" s="194">
        <v>29</v>
      </c>
      <c r="N103" s="194">
        <v>0.66300000000000003</v>
      </c>
      <c r="O103" s="194">
        <v>0.65200000000000002</v>
      </c>
      <c r="P103" s="194">
        <v>23</v>
      </c>
      <c r="Q103" s="194">
        <v>0.64700000000000002</v>
      </c>
      <c r="R103" s="194">
        <v>0.73</v>
      </c>
      <c r="S103" s="194">
        <v>37</v>
      </c>
      <c r="T103" s="194">
        <v>0.69499999999999995</v>
      </c>
      <c r="U103" s="194">
        <v>0.52</v>
      </c>
      <c r="V103" s="194">
        <v>25</v>
      </c>
      <c r="W103" s="194">
        <v>0.69</v>
      </c>
      <c r="X103" s="194">
        <v>0.78800000000000003</v>
      </c>
      <c r="Y103" s="194">
        <v>33</v>
      </c>
      <c r="Z103" s="194">
        <v>0.70899999999999996</v>
      </c>
      <c r="AA103" s="194">
        <v>0.73099999999999998</v>
      </c>
      <c r="AB103" s="194">
        <v>26</v>
      </c>
      <c r="AC103" s="194">
        <v>0.66700000000000004</v>
      </c>
      <c r="AD103" s="194">
        <v>0.59299999999999997</v>
      </c>
      <c r="AE103" s="194">
        <v>27</v>
      </c>
      <c r="AF103" s="194">
        <v>0.64100000000000001</v>
      </c>
      <c r="AG103" s="194">
        <v>0.68400000000000005</v>
      </c>
      <c r="AH103" s="194">
        <v>19</v>
      </c>
      <c r="AI103" s="194">
        <v>0.66700000000000004</v>
      </c>
      <c r="AJ103" s="194">
        <v>0.65600000000000003</v>
      </c>
      <c r="AK103" s="194">
        <v>32</v>
      </c>
      <c r="AL103" s="55"/>
      <c r="AM103" s="55"/>
      <c r="AN103" s="55"/>
      <c r="AO103" s="55"/>
      <c r="AP103" s="55"/>
      <c r="AQ103" s="55"/>
      <c r="AR103" s="55"/>
      <c r="AS103" s="55"/>
      <c r="AT103" s="55"/>
      <c r="AU103" s="55"/>
      <c r="AV103" s="55"/>
      <c r="AW103" s="55"/>
      <c r="AX103" s="55"/>
      <c r="AY103" s="55"/>
      <c r="AZ103" s="55"/>
      <c r="BA103" s="55"/>
      <c r="BB103" s="55"/>
      <c r="BC103" s="55"/>
      <c r="BD103" s="55"/>
      <c r="BE103" s="55"/>
      <c r="BF103" s="55"/>
      <c r="BG103" s="55"/>
      <c r="BH103" s="55"/>
      <c r="BI103" s="55"/>
    </row>
    <row r="104" spans="1:61" x14ac:dyDescent="0.3">
      <c r="A104" s="193" t="s">
        <v>528</v>
      </c>
      <c r="B104" s="194">
        <v>0.1</v>
      </c>
      <c r="C104" s="194">
        <v>0.125</v>
      </c>
      <c r="D104" s="194">
        <v>32</v>
      </c>
      <c r="E104" s="194">
        <v>9.5000000000000001E-2</v>
      </c>
      <c r="F104" s="194">
        <v>5.6000000000000001E-2</v>
      </c>
      <c r="G104" s="194">
        <v>18</v>
      </c>
      <c r="H104" s="194">
        <v>8.7999999999999995E-2</v>
      </c>
      <c r="I104" s="194">
        <v>8.3000000000000004E-2</v>
      </c>
      <c r="J104" s="194">
        <v>24</v>
      </c>
      <c r="K104" s="194">
        <v>6.6000000000000003E-2</v>
      </c>
      <c r="L104" s="194">
        <v>0.115</v>
      </c>
      <c r="M104" s="194">
        <v>26</v>
      </c>
      <c r="N104" s="194">
        <v>5.0999999999999997E-2</v>
      </c>
      <c r="O104" s="194">
        <v>0</v>
      </c>
      <c r="P104" s="194">
        <v>26</v>
      </c>
      <c r="Q104" s="194">
        <v>2.5000000000000001E-2</v>
      </c>
      <c r="R104" s="194">
        <v>3.7999999999999999E-2</v>
      </c>
      <c r="S104" s="194">
        <v>26</v>
      </c>
      <c r="T104" s="194">
        <v>4.3999999999999997E-2</v>
      </c>
      <c r="U104" s="194">
        <v>3.5999999999999997E-2</v>
      </c>
      <c r="V104" s="194">
        <v>28</v>
      </c>
      <c r="W104" s="194">
        <v>5.2999999999999999E-2</v>
      </c>
      <c r="X104" s="194">
        <v>5.3999999999999999E-2</v>
      </c>
      <c r="Y104" s="194">
        <v>37</v>
      </c>
      <c r="Z104" s="194">
        <v>8.5999999999999993E-2</v>
      </c>
      <c r="AA104" s="194">
        <v>6.7000000000000004E-2</v>
      </c>
      <c r="AB104" s="194">
        <v>30</v>
      </c>
      <c r="AC104" s="194">
        <v>0.11799999999999999</v>
      </c>
      <c r="AD104" s="194">
        <v>0.13200000000000001</v>
      </c>
      <c r="AE104" s="194">
        <v>38</v>
      </c>
      <c r="AF104" s="194">
        <v>0.13100000000000001</v>
      </c>
      <c r="AG104" s="194">
        <v>0.14299999999999999</v>
      </c>
      <c r="AH104" s="194">
        <v>42</v>
      </c>
      <c r="AI104" s="194">
        <v>0.13</v>
      </c>
      <c r="AJ104" s="194">
        <v>0.12</v>
      </c>
      <c r="AK104" s="194">
        <v>50</v>
      </c>
      <c r="AL104" s="55"/>
      <c r="AM104" s="55"/>
      <c r="AN104" s="55"/>
      <c r="AO104" s="55"/>
      <c r="AP104" s="55"/>
      <c r="AQ104" s="55"/>
      <c r="AR104" s="55"/>
      <c r="AS104" s="55"/>
      <c r="AT104" s="55"/>
      <c r="AU104" s="55"/>
      <c r="AV104" s="55"/>
      <c r="AW104" s="55"/>
      <c r="AX104" s="55"/>
      <c r="AY104" s="55"/>
      <c r="AZ104" s="55"/>
      <c r="BA104" s="55"/>
      <c r="BB104" s="55"/>
      <c r="BC104" s="55"/>
      <c r="BD104" s="55"/>
      <c r="BE104" s="55"/>
      <c r="BF104" s="55"/>
      <c r="BG104" s="55"/>
      <c r="BH104" s="55"/>
      <c r="BI104" s="55"/>
    </row>
    <row r="105" spans="1:61" x14ac:dyDescent="0.3">
      <c r="A105" s="193" t="s">
        <v>400</v>
      </c>
      <c r="B105" s="194">
        <v>0.60699999999999998</v>
      </c>
      <c r="C105" s="194">
        <v>0.625</v>
      </c>
      <c r="D105" s="194">
        <v>16</v>
      </c>
      <c r="E105" s="194">
        <v>0.53500000000000003</v>
      </c>
      <c r="F105" s="194">
        <v>0.58299999999999996</v>
      </c>
      <c r="G105" s="194">
        <v>12</v>
      </c>
      <c r="H105" s="194">
        <v>0.56799999999999995</v>
      </c>
      <c r="I105" s="194">
        <v>0.4</v>
      </c>
      <c r="J105" s="194">
        <v>15</v>
      </c>
      <c r="K105" s="194">
        <v>0.68100000000000005</v>
      </c>
      <c r="L105" s="194">
        <v>0.8</v>
      </c>
      <c r="M105" s="194">
        <v>10</v>
      </c>
      <c r="N105" s="194">
        <v>0.78700000000000003</v>
      </c>
      <c r="O105" s="194">
        <v>0.81799999999999995</v>
      </c>
      <c r="P105" s="194">
        <v>22</v>
      </c>
      <c r="Q105" s="194">
        <v>0.75</v>
      </c>
      <c r="R105" s="194">
        <v>0.73299999999999998</v>
      </c>
      <c r="S105" s="194">
        <v>15</v>
      </c>
      <c r="T105" s="194">
        <v>0.71399999999999997</v>
      </c>
      <c r="U105" s="194">
        <v>0.57099999999999995</v>
      </c>
      <c r="V105" s="194">
        <v>7</v>
      </c>
      <c r="W105" s="194">
        <v>0.628</v>
      </c>
      <c r="X105" s="194">
        <v>0.75</v>
      </c>
      <c r="Y105" s="194">
        <v>20</v>
      </c>
      <c r="Z105" s="194">
        <v>0.66100000000000003</v>
      </c>
      <c r="AA105" s="194">
        <v>0.5</v>
      </c>
      <c r="AB105" s="194">
        <v>16</v>
      </c>
      <c r="AC105" s="194">
        <v>0.64300000000000002</v>
      </c>
      <c r="AD105" s="194">
        <v>0.7</v>
      </c>
      <c r="AE105" s="194">
        <v>20</v>
      </c>
      <c r="AF105" s="194">
        <v>0.75900000000000001</v>
      </c>
      <c r="AG105" s="194">
        <v>0.7</v>
      </c>
      <c r="AH105" s="194">
        <v>20</v>
      </c>
      <c r="AI105" s="194">
        <v>0.78900000000000003</v>
      </c>
      <c r="AJ105" s="194">
        <v>0.88900000000000001</v>
      </c>
      <c r="AK105" s="194">
        <v>18</v>
      </c>
      <c r="AL105" s="55"/>
      <c r="AM105" s="55"/>
      <c r="AN105" s="55"/>
      <c r="AO105" s="55"/>
      <c r="AP105" s="55"/>
      <c r="AQ105" s="55"/>
      <c r="AR105" s="55"/>
      <c r="AS105" s="55"/>
      <c r="AT105" s="55"/>
      <c r="AU105" s="55"/>
      <c r="AV105" s="55"/>
      <c r="AW105" s="55"/>
      <c r="AX105" s="55"/>
      <c r="AY105" s="55"/>
      <c r="AZ105" s="55"/>
      <c r="BA105" s="55"/>
      <c r="BB105" s="55"/>
      <c r="BC105" s="55"/>
      <c r="BD105" s="55"/>
      <c r="BE105" s="55"/>
      <c r="BF105" s="55"/>
      <c r="BG105" s="55"/>
      <c r="BH105" s="55"/>
      <c r="BI105" s="55"/>
    </row>
    <row r="106" spans="1:61" x14ac:dyDescent="0.3">
      <c r="A106" s="193" t="s">
        <v>540</v>
      </c>
      <c r="B106" s="194">
        <v>1</v>
      </c>
      <c r="C106" s="194">
        <v>1</v>
      </c>
      <c r="D106" s="194">
        <v>20</v>
      </c>
      <c r="E106" s="194">
        <v>1</v>
      </c>
      <c r="F106" s="194">
        <v>1</v>
      </c>
      <c r="G106" s="194">
        <v>15</v>
      </c>
      <c r="H106" s="194">
        <v>1</v>
      </c>
      <c r="I106" s="194">
        <v>1</v>
      </c>
      <c r="J106" s="194">
        <v>10</v>
      </c>
      <c r="K106" s="194">
        <v>0.94099999999999995</v>
      </c>
      <c r="L106" s="194">
        <v>1</v>
      </c>
      <c r="M106" s="194">
        <v>12</v>
      </c>
      <c r="N106" s="194">
        <v>0.91400000000000003</v>
      </c>
      <c r="O106" s="194">
        <v>0.83299999999999996</v>
      </c>
      <c r="P106" s="194">
        <v>12</v>
      </c>
      <c r="Q106" s="194">
        <v>0.90600000000000003</v>
      </c>
      <c r="R106" s="194">
        <v>0.90900000000000003</v>
      </c>
      <c r="S106" s="194">
        <v>11</v>
      </c>
      <c r="T106" s="194">
        <v>0.93500000000000005</v>
      </c>
      <c r="U106" s="194">
        <v>1</v>
      </c>
      <c r="V106" s="194">
        <v>9</v>
      </c>
      <c r="W106" s="194">
        <v>0.97099999999999997</v>
      </c>
      <c r="X106" s="194">
        <v>0.90900000000000003</v>
      </c>
      <c r="Y106" s="194">
        <v>11</v>
      </c>
      <c r="Z106" s="194">
        <v>0.95799999999999996</v>
      </c>
      <c r="AA106" s="194">
        <v>1</v>
      </c>
      <c r="AB106" s="194">
        <v>15</v>
      </c>
      <c r="AC106" s="194">
        <v>0.95899999999999996</v>
      </c>
      <c r="AD106" s="194">
        <v>0.95499999999999996</v>
      </c>
      <c r="AE106" s="194">
        <v>22</v>
      </c>
      <c r="AF106" s="194">
        <v>0.96</v>
      </c>
      <c r="AG106" s="194">
        <v>0.91700000000000004</v>
      </c>
      <c r="AH106" s="194">
        <v>12</v>
      </c>
      <c r="AI106" s="194">
        <v>0.96399999999999997</v>
      </c>
      <c r="AJ106" s="194">
        <v>1</v>
      </c>
      <c r="AK106" s="194">
        <v>16</v>
      </c>
      <c r="AL106" s="55"/>
      <c r="AM106" s="55"/>
      <c r="AN106" s="55"/>
      <c r="AO106" s="55"/>
      <c r="AP106" s="55"/>
      <c r="AQ106" s="55"/>
      <c r="AR106" s="55"/>
      <c r="AS106" s="55"/>
      <c r="AT106" s="55"/>
      <c r="AU106" s="55"/>
      <c r="AV106" s="55"/>
      <c r="AW106" s="55"/>
      <c r="AX106" s="55"/>
      <c r="AY106" s="55"/>
      <c r="AZ106" s="55"/>
      <c r="BA106" s="55"/>
      <c r="BB106" s="55"/>
      <c r="BC106" s="55"/>
      <c r="BD106" s="55"/>
      <c r="BE106" s="55"/>
      <c r="BF106" s="55"/>
      <c r="BG106" s="55"/>
      <c r="BH106" s="55"/>
      <c r="BI106" s="55"/>
    </row>
    <row r="107" spans="1:61" x14ac:dyDescent="0.3">
      <c r="A107" s="193" t="s">
        <v>337</v>
      </c>
      <c r="B107" s="194">
        <v>0.47399999999999998</v>
      </c>
      <c r="C107" s="194">
        <v>0.57099999999999995</v>
      </c>
      <c r="D107" s="194">
        <v>7</v>
      </c>
      <c r="E107" s="194">
        <v>0.48099999999999998</v>
      </c>
      <c r="F107" s="194">
        <v>0.41699999999999998</v>
      </c>
      <c r="G107" s="194">
        <v>12</v>
      </c>
      <c r="H107" s="194">
        <v>0.46200000000000002</v>
      </c>
      <c r="I107" s="194">
        <v>0.5</v>
      </c>
      <c r="J107" s="194">
        <v>8</v>
      </c>
      <c r="K107" s="194">
        <v>0.58299999999999996</v>
      </c>
      <c r="L107" s="194">
        <v>0.5</v>
      </c>
      <c r="M107" s="194">
        <v>6</v>
      </c>
      <c r="N107" s="194">
        <v>0.65600000000000003</v>
      </c>
      <c r="O107" s="194">
        <v>0.7</v>
      </c>
      <c r="P107" s="194">
        <v>10</v>
      </c>
      <c r="Q107" s="194">
        <v>0.72699999999999998</v>
      </c>
      <c r="R107" s="194">
        <v>0.68799999999999994</v>
      </c>
      <c r="S107" s="194">
        <v>16</v>
      </c>
      <c r="T107" s="194">
        <v>0.75</v>
      </c>
      <c r="U107" s="194">
        <v>0.77800000000000002</v>
      </c>
      <c r="V107" s="194">
        <v>18</v>
      </c>
      <c r="W107" s="194">
        <v>0.755</v>
      </c>
      <c r="X107" s="194">
        <v>0.78600000000000003</v>
      </c>
      <c r="Y107" s="194">
        <v>14</v>
      </c>
      <c r="Z107" s="194">
        <v>0.78300000000000003</v>
      </c>
      <c r="AA107" s="194">
        <v>0.70599999999999996</v>
      </c>
      <c r="AB107" s="194">
        <v>17</v>
      </c>
      <c r="AC107" s="194">
        <v>0.68899999999999995</v>
      </c>
      <c r="AD107" s="194">
        <v>0.86699999999999999</v>
      </c>
      <c r="AE107" s="194">
        <v>15</v>
      </c>
      <c r="AF107" s="194">
        <v>0.6</v>
      </c>
      <c r="AG107" s="194">
        <v>0.58599999999999997</v>
      </c>
      <c r="AH107" s="194">
        <v>29</v>
      </c>
      <c r="AI107" s="194">
        <v>0.52</v>
      </c>
      <c r="AJ107" s="194">
        <v>0.42899999999999999</v>
      </c>
      <c r="AK107" s="194">
        <v>21</v>
      </c>
      <c r="AL107" s="55"/>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row>
    <row r="108" spans="1:61" x14ac:dyDescent="0.3">
      <c r="A108" s="193" t="s">
        <v>482</v>
      </c>
      <c r="B108" s="194">
        <v>0.47399999999999998</v>
      </c>
      <c r="C108" s="194">
        <v>0.45500000000000002</v>
      </c>
      <c r="D108" s="194">
        <v>33</v>
      </c>
      <c r="E108" s="194">
        <v>0.48899999999999999</v>
      </c>
      <c r="F108" s="194">
        <v>0.5</v>
      </c>
      <c r="G108" s="194">
        <v>24</v>
      </c>
      <c r="H108" s="194">
        <v>0.51300000000000001</v>
      </c>
      <c r="I108" s="194">
        <v>0.51600000000000001</v>
      </c>
      <c r="J108" s="194">
        <v>31</v>
      </c>
      <c r="K108" s="194">
        <v>0.44400000000000001</v>
      </c>
      <c r="L108" s="194">
        <v>0.52200000000000002</v>
      </c>
      <c r="M108" s="194">
        <v>23</v>
      </c>
      <c r="N108" s="194">
        <v>0.35899999999999999</v>
      </c>
      <c r="O108" s="194">
        <v>0.29599999999999999</v>
      </c>
      <c r="P108" s="194">
        <v>27</v>
      </c>
      <c r="Q108" s="194">
        <v>0.32600000000000001</v>
      </c>
      <c r="R108" s="194">
        <v>0.28599999999999998</v>
      </c>
      <c r="S108" s="194">
        <v>28</v>
      </c>
      <c r="T108" s="194">
        <v>0.38</v>
      </c>
      <c r="U108" s="194">
        <v>0.38200000000000001</v>
      </c>
      <c r="V108" s="194">
        <v>34</v>
      </c>
      <c r="W108" s="194">
        <v>0.45900000000000002</v>
      </c>
      <c r="X108" s="194">
        <v>0.46700000000000003</v>
      </c>
      <c r="Y108" s="194">
        <v>30</v>
      </c>
      <c r="Z108" s="194">
        <v>0.45800000000000002</v>
      </c>
      <c r="AA108" s="194">
        <v>0.57099999999999995</v>
      </c>
      <c r="AB108" s="194">
        <v>21</v>
      </c>
      <c r="AC108" s="194">
        <v>0.54200000000000004</v>
      </c>
      <c r="AD108" s="194">
        <v>0.33300000000000002</v>
      </c>
      <c r="AE108" s="194">
        <v>21</v>
      </c>
      <c r="AF108" s="194">
        <v>0.58299999999999996</v>
      </c>
      <c r="AG108" s="194">
        <v>0.76500000000000001</v>
      </c>
      <c r="AH108" s="194">
        <v>17</v>
      </c>
      <c r="AI108" s="194">
        <v>0.68600000000000005</v>
      </c>
      <c r="AJ108" s="194">
        <v>0.64700000000000002</v>
      </c>
      <c r="AK108" s="194">
        <v>34</v>
      </c>
      <c r="AL108" s="55"/>
      <c r="AM108" s="55"/>
      <c r="AN108" s="55"/>
      <c r="AO108" s="55"/>
      <c r="AP108" s="55"/>
      <c r="AQ108" s="55"/>
      <c r="AR108" s="55"/>
      <c r="AS108" s="55"/>
      <c r="AT108" s="55"/>
      <c r="AU108" s="55"/>
      <c r="AV108" s="55"/>
      <c r="AW108" s="55"/>
      <c r="AX108" s="55"/>
      <c r="AY108" s="55"/>
      <c r="AZ108" s="55"/>
      <c r="BA108" s="55"/>
      <c r="BB108" s="55"/>
      <c r="BC108" s="55"/>
      <c r="BD108" s="55"/>
      <c r="BE108" s="55"/>
      <c r="BF108" s="55"/>
      <c r="BG108" s="55"/>
      <c r="BH108" s="55"/>
      <c r="BI108" s="55"/>
    </row>
    <row r="109" spans="1:61" x14ac:dyDescent="0.3">
      <c r="A109" s="193" t="s">
        <v>546</v>
      </c>
      <c r="B109" s="194">
        <v>0.97699999999999998</v>
      </c>
      <c r="C109" s="194">
        <v>1</v>
      </c>
      <c r="D109" s="194">
        <v>16</v>
      </c>
      <c r="E109" s="194">
        <v>0.98599999999999999</v>
      </c>
      <c r="F109" s="194">
        <v>0.96299999999999997</v>
      </c>
      <c r="G109" s="194">
        <v>27</v>
      </c>
      <c r="H109" s="194">
        <v>0.98799999999999999</v>
      </c>
      <c r="I109" s="194">
        <v>1</v>
      </c>
      <c r="J109" s="194">
        <v>29</v>
      </c>
      <c r="K109" s="194">
        <v>0.93899999999999995</v>
      </c>
      <c r="L109" s="194">
        <v>1</v>
      </c>
      <c r="M109" s="194">
        <v>26</v>
      </c>
      <c r="N109" s="194">
        <v>0.85299999999999998</v>
      </c>
      <c r="O109" s="194">
        <v>0.81499999999999995</v>
      </c>
      <c r="P109" s="194">
        <v>27</v>
      </c>
      <c r="Q109" s="194">
        <v>0.78600000000000003</v>
      </c>
      <c r="R109" s="194">
        <v>0.72699999999999998</v>
      </c>
      <c r="S109" s="194">
        <v>22</v>
      </c>
      <c r="T109" s="194">
        <v>0.72299999999999998</v>
      </c>
      <c r="U109" s="194">
        <v>0.85699999999999998</v>
      </c>
      <c r="V109" s="194">
        <v>7</v>
      </c>
      <c r="W109" s="194">
        <v>0.82699999999999996</v>
      </c>
      <c r="X109" s="194">
        <v>0.66700000000000004</v>
      </c>
      <c r="Y109" s="194">
        <v>18</v>
      </c>
      <c r="Z109" s="194">
        <v>0.80700000000000005</v>
      </c>
      <c r="AA109" s="194">
        <v>0.92600000000000005</v>
      </c>
      <c r="AB109" s="194">
        <v>27</v>
      </c>
      <c r="AC109" s="194">
        <v>0.88500000000000001</v>
      </c>
      <c r="AD109" s="194">
        <v>0.75</v>
      </c>
      <c r="AE109" s="194">
        <v>12</v>
      </c>
      <c r="AF109" s="194">
        <v>0.91500000000000004</v>
      </c>
      <c r="AG109" s="194">
        <v>0.92300000000000004</v>
      </c>
      <c r="AH109" s="194">
        <v>13</v>
      </c>
      <c r="AI109" s="194">
        <v>0.97099999999999997</v>
      </c>
      <c r="AJ109" s="194">
        <v>1</v>
      </c>
      <c r="AK109" s="194">
        <v>22</v>
      </c>
      <c r="AL109" s="55"/>
      <c r="AM109" s="55"/>
      <c r="AN109" s="55"/>
      <c r="AO109" s="55"/>
      <c r="AP109" s="55"/>
      <c r="AQ109" s="55"/>
      <c r="AR109" s="55"/>
      <c r="AS109" s="55"/>
      <c r="AT109" s="55"/>
      <c r="AU109" s="55"/>
      <c r="AV109" s="55"/>
      <c r="AW109" s="55"/>
      <c r="AX109" s="55"/>
      <c r="AY109" s="55"/>
      <c r="AZ109" s="55"/>
      <c r="BA109" s="55"/>
      <c r="BB109" s="55"/>
      <c r="BC109" s="55"/>
      <c r="BD109" s="55"/>
      <c r="BE109" s="55"/>
      <c r="BF109" s="55"/>
      <c r="BG109" s="55"/>
      <c r="BH109" s="55"/>
      <c r="BI109" s="55"/>
    </row>
    <row r="110" spans="1:61" x14ac:dyDescent="0.3">
      <c r="A110" s="193" t="s">
        <v>538</v>
      </c>
      <c r="B110" s="194">
        <v>0.85699999999999998</v>
      </c>
      <c r="C110" s="194">
        <v>0.83299999999999996</v>
      </c>
      <c r="D110" s="194">
        <v>12</v>
      </c>
      <c r="E110" s="194">
        <v>0.83799999999999997</v>
      </c>
      <c r="F110" s="194">
        <v>0.875</v>
      </c>
      <c r="G110" s="194">
        <v>16</v>
      </c>
      <c r="H110" s="194">
        <v>0.82399999999999995</v>
      </c>
      <c r="I110" s="194">
        <v>0.77800000000000002</v>
      </c>
      <c r="J110" s="194">
        <v>9</v>
      </c>
      <c r="K110" s="194">
        <v>0.81799999999999995</v>
      </c>
      <c r="L110" s="194">
        <v>0.77800000000000002</v>
      </c>
      <c r="M110" s="194">
        <v>9</v>
      </c>
      <c r="N110" s="194">
        <v>0.85699999999999998</v>
      </c>
      <c r="O110" s="194">
        <v>1</v>
      </c>
      <c r="P110" s="194">
        <v>4</v>
      </c>
      <c r="Q110" s="194">
        <v>1</v>
      </c>
      <c r="R110" s="194">
        <v>1</v>
      </c>
      <c r="S110" s="194">
        <v>1</v>
      </c>
      <c r="T110" s="194">
        <v>1</v>
      </c>
      <c r="U110" s="194">
        <v>1</v>
      </c>
      <c r="V110" s="194">
        <v>2</v>
      </c>
      <c r="W110" s="194">
        <v>1</v>
      </c>
      <c r="X110" s="194">
        <v>1</v>
      </c>
      <c r="Y110" s="194">
        <v>3</v>
      </c>
      <c r="Z110" s="194">
        <v>1</v>
      </c>
      <c r="AA110" s="194"/>
      <c r="AB110" s="194"/>
      <c r="AC110" s="194">
        <v>0.75</v>
      </c>
      <c r="AD110" s="194">
        <v>1</v>
      </c>
      <c r="AE110" s="194">
        <v>2</v>
      </c>
      <c r="AF110" s="194">
        <v>0.8</v>
      </c>
      <c r="AG110" s="194">
        <v>0.71399999999999997</v>
      </c>
      <c r="AH110" s="194">
        <v>14</v>
      </c>
      <c r="AI110" s="194">
        <v>0.78300000000000003</v>
      </c>
      <c r="AJ110" s="194">
        <v>0.88900000000000001</v>
      </c>
      <c r="AK110" s="194">
        <v>9</v>
      </c>
      <c r="AL110" s="55"/>
      <c r="AM110" s="55"/>
      <c r="AN110" s="55"/>
      <c r="AO110" s="55"/>
      <c r="AP110" s="55"/>
      <c r="AQ110" s="55"/>
      <c r="AR110" s="55"/>
      <c r="AS110" s="55"/>
      <c r="AT110" s="55"/>
      <c r="AU110" s="55"/>
      <c r="AV110" s="55"/>
      <c r="AW110" s="55"/>
      <c r="AX110" s="55"/>
      <c r="AY110" s="55"/>
      <c r="AZ110" s="55"/>
      <c r="BA110" s="55"/>
      <c r="BB110" s="55"/>
      <c r="BC110" s="55"/>
      <c r="BD110" s="55"/>
      <c r="BE110" s="55"/>
      <c r="BF110" s="55"/>
      <c r="BG110" s="55"/>
      <c r="BH110" s="55"/>
      <c r="BI110" s="55"/>
    </row>
    <row r="111" spans="1:61" x14ac:dyDescent="0.3">
      <c r="A111" s="193" t="s">
        <v>303</v>
      </c>
      <c r="B111" s="194">
        <v>0.81100000000000005</v>
      </c>
      <c r="C111" s="194">
        <v>0.82399999999999995</v>
      </c>
      <c r="D111" s="194">
        <v>17</v>
      </c>
      <c r="E111" s="194">
        <v>0.79600000000000004</v>
      </c>
      <c r="F111" s="194">
        <v>0.8</v>
      </c>
      <c r="G111" s="194">
        <v>20</v>
      </c>
      <c r="H111" s="194">
        <v>0.754</v>
      </c>
      <c r="I111" s="194">
        <v>0.76500000000000001</v>
      </c>
      <c r="J111" s="194">
        <v>17</v>
      </c>
      <c r="K111" s="194">
        <v>0.80300000000000005</v>
      </c>
      <c r="L111" s="194">
        <v>0.70799999999999996</v>
      </c>
      <c r="M111" s="194">
        <v>24</v>
      </c>
      <c r="N111" s="194">
        <v>0.86</v>
      </c>
      <c r="O111" s="194">
        <v>0.95</v>
      </c>
      <c r="P111" s="194">
        <v>20</v>
      </c>
      <c r="Q111" s="194">
        <v>0.95</v>
      </c>
      <c r="R111" s="194">
        <v>1</v>
      </c>
      <c r="S111" s="194">
        <v>13</v>
      </c>
      <c r="T111" s="194">
        <v>0.95099999999999996</v>
      </c>
      <c r="U111" s="194">
        <v>0.85699999999999998</v>
      </c>
      <c r="V111" s="194">
        <v>7</v>
      </c>
      <c r="W111" s="194">
        <v>0.94899999999999995</v>
      </c>
      <c r="X111" s="194">
        <v>0.95199999999999996</v>
      </c>
      <c r="Y111" s="194">
        <v>21</v>
      </c>
      <c r="Z111" s="194">
        <v>0.96</v>
      </c>
      <c r="AA111" s="194">
        <v>1</v>
      </c>
      <c r="AB111" s="194">
        <v>11</v>
      </c>
      <c r="AC111" s="194">
        <v>0.73399999999999999</v>
      </c>
      <c r="AD111" s="194">
        <v>0.94399999999999995</v>
      </c>
      <c r="AE111" s="194">
        <v>18</v>
      </c>
      <c r="AF111" s="194">
        <v>0.71599999999999997</v>
      </c>
      <c r="AG111" s="194">
        <v>0.54300000000000004</v>
      </c>
      <c r="AH111" s="194">
        <v>35</v>
      </c>
      <c r="AI111" s="194">
        <v>0.63300000000000001</v>
      </c>
      <c r="AJ111" s="194">
        <v>0.85699999999999998</v>
      </c>
      <c r="AK111" s="194">
        <v>14</v>
      </c>
      <c r="AL111" s="55"/>
      <c r="AM111" s="55"/>
      <c r="AN111" s="55"/>
      <c r="AO111" s="55"/>
      <c r="AP111" s="55"/>
      <c r="AQ111" s="55"/>
      <c r="AR111" s="55"/>
      <c r="AS111" s="55"/>
      <c r="AT111" s="55"/>
      <c r="AU111" s="55"/>
      <c r="AV111" s="55"/>
      <c r="AW111" s="55"/>
      <c r="AX111" s="55"/>
      <c r="AY111" s="55"/>
      <c r="AZ111" s="55"/>
      <c r="BA111" s="55"/>
      <c r="BB111" s="55"/>
      <c r="BC111" s="55"/>
      <c r="BD111" s="55"/>
      <c r="BE111" s="55"/>
      <c r="BF111" s="55"/>
      <c r="BG111" s="55"/>
      <c r="BH111" s="55"/>
      <c r="BI111" s="55"/>
    </row>
    <row r="112" spans="1:61" x14ac:dyDescent="0.3">
      <c r="A112" s="193" t="s">
        <v>433</v>
      </c>
      <c r="B112" s="194">
        <v>0.69399999999999995</v>
      </c>
      <c r="C112" s="194">
        <v>0.75</v>
      </c>
      <c r="D112" s="194">
        <v>28</v>
      </c>
      <c r="E112" s="194">
        <v>0.73099999999999998</v>
      </c>
      <c r="F112" s="194">
        <v>0.61899999999999999</v>
      </c>
      <c r="G112" s="194">
        <v>21</v>
      </c>
      <c r="H112" s="194">
        <v>0.76800000000000002</v>
      </c>
      <c r="I112" s="194">
        <v>0.79300000000000004</v>
      </c>
      <c r="J112" s="194">
        <v>29</v>
      </c>
      <c r="K112" s="194">
        <v>0.84399999999999997</v>
      </c>
      <c r="L112" s="194">
        <v>0.84399999999999997</v>
      </c>
      <c r="M112" s="194">
        <v>32</v>
      </c>
      <c r="N112" s="194">
        <v>0.873</v>
      </c>
      <c r="O112" s="194">
        <v>0.93799999999999994</v>
      </c>
      <c r="P112" s="194">
        <v>16</v>
      </c>
      <c r="Q112" s="194">
        <v>0.873</v>
      </c>
      <c r="R112" s="194">
        <v>0.87</v>
      </c>
      <c r="S112" s="194">
        <v>23</v>
      </c>
      <c r="T112" s="194">
        <v>0.85699999999999998</v>
      </c>
      <c r="U112" s="194">
        <v>0.81299999999999994</v>
      </c>
      <c r="V112" s="194">
        <v>16</v>
      </c>
      <c r="W112" s="194">
        <v>0.80800000000000005</v>
      </c>
      <c r="X112" s="194">
        <v>0.875</v>
      </c>
      <c r="Y112" s="194">
        <v>24</v>
      </c>
      <c r="Z112" s="194">
        <v>0.74399999999999999</v>
      </c>
      <c r="AA112" s="194">
        <v>0.75800000000000001</v>
      </c>
      <c r="AB112" s="194">
        <v>33</v>
      </c>
      <c r="AC112" s="194">
        <v>0.69</v>
      </c>
      <c r="AD112" s="194">
        <v>0.6</v>
      </c>
      <c r="AE112" s="194">
        <v>25</v>
      </c>
      <c r="AF112" s="194">
        <v>0.72299999999999998</v>
      </c>
      <c r="AG112" s="194">
        <v>0.69199999999999995</v>
      </c>
      <c r="AH112" s="194">
        <v>26</v>
      </c>
      <c r="AI112" s="194">
        <v>0.76300000000000001</v>
      </c>
      <c r="AJ112" s="194">
        <v>0.8</v>
      </c>
      <c r="AK112" s="194">
        <v>50</v>
      </c>
      <c r="AL112" s="55"/>
      <c r="AM112" s="55"/>
      <c r="AN112" s="55"/>
      <c r="AO112" s="55"/>
      <c r="AP112" s="55"/>
      <c r="AQ112" s="55"/>
      <c r="AR112" s="55"/>
      <c r="AS112" s="55"/>
      <c r="AT112" s="55"/>
      <c r="AU112" s="55"/>
      <c r="AV112" s="55"/>
      <c r="AW112" s="55"/>
      <c r="AX112" s="55"/>
      <c r="AY112" s="55"/>
      <c r="AZ112" s="55"/>
      <c r="BA112" s="55"/>
      <c r="BB112" s="55"/>
      <c r="BC112" s="55"/>
      <c r="BD112" s="55"/>
      <c r="BE112" s="55"/>
      <c r="BF112" s="55"/>
      <c r="BG112" s="55"/>
      <c r="BH112" s="55"/>
      <c r="BI112" s="55"/>
    </row>
    <row r="113" spans="1:61" x14ac:dyDescent="0.3">
      <c r="A113" s="193" t="s">
        <v>348</v>
      </c>
      <c r="B113" s="194">
        <v>0.81299999999999994</v>
      </c>
      <c r="C113" s="194">
        <v>0.83299999999999996</v>
      </c>
      <c r="D113" s="194">
        <v>12</v>
      </c>
      <c r="E113" s="194">
        <v>0.81799999999999995</v>
      </c>
      <c r="F113" s="194">
        <v>0.8</v>
      </c>
      <c r="G113" s="194">
        <v>20</v>
      </c>
      <c r="H113" s="194">
        <v>0.76600000000000001</v>
      </c>
      <c r="I113" s="194">
        <v>0.82599999999999996</v>
      </c>
      <c r="J113" s="194">
        <v>23</v>
      </c>
      <c r="K113" s="194">
        <v>0.76700000000000002</v>
      </c>
      <c r="L113" s="194">
        <v>0.66700000000000004</v>
      </c>
      <c r="M113" s="194">
        <v>21</v>
      </c>
      <c r="N113" s="194">
        <v>0.72899999999999998</v>
      </c>
      <c r="O113" s="194">
        <v>0.81299999999999994</v>
      </c>
      <c r="P113" s="194">
        <v>16</v>
      </c>
      <c r="Q113" s="194">
        <v>0.77500000000000002</v>
      </c>
      <c r="R113" s="194">
        <v>0.72699999999999998</v>
      </c>
      <c r="S113" s="194">
        <v>11</v>
      </c>
      <c r="T113" s="194">
        <v>0.79500000000000004</v>
      </c>
      <c r="U113" s="194">
        <v>0.76900000000000002</v>
      </c>
      <c r="V113" s="194">
        <v>13</v>
      </c>
      <c r="W113" s="194">
        <v>0.84199999999999997</v>
      </c>
      <c r="X113" s="194">
        <v>0.85</v>
      </c>
      <c r="Y113" s="194">
        <v>20</v>
      </c>
      <c r="Z113" s="194">
        <v>0.88200000000000001</v>
      </c>
      <c r="AA113" s="194">
        <v>0.875</v>
      </c>
      <c r="AB113" s="194">
        <v>24</v>
      </c>
      <c r="AC113" s="194">
        <v>0.875</v>
      </c>
      <c r="AD113" s="194">
        <v>1</v>
      </c>
      <c r="AE113" s="194">
        <v>7</v>
      </c>
      <c r="AF113" s="194">
        <v>0.79600000000000004</v>
      </c>
      <c r="AG113" s="194">
        <v>0.84</v>
      </c>
      <c r="AH113" s="194">
        <v>25</v>
      </c>
      <c r="AI113" s="194">
        <v>0.76600000000000001</v>
      </c>
      <c r="AJ113" s="194">
        <v>0.68200000000000005</v>
      </c>
      <c r="AK113" s="194">
        <v>22</v>
      </c>
      <c r="AL113" s="55"/>
      <c r="AM113" s="55"/>
      <c r="AN113" s="55"/>
      <c r="AO113" s="55"/>
      <c r="AP113" s="55"/>
      <c r="AQ113" s="55"/>
      <c r="AR113" s="55"/>
      <c r="AS113" s="55"/>
      <c r="AT113" s="55"/>
      <c r="AU113" s="55"/>
      <c r="AV113" s="55"/>
      <c r="AW113" s="55"/>
      <c r="AX113" s="55"/>
      <c r="AY113" s="55"/>
      <c r="AZ113" s="55"/>
      <c r="BA113" s="55"/>
      <c r="BB113" s="55"/>
      <c r="BC113" s="55"/>
      <c r="BD113" s="55"/>
      <c r="BE113" s="55"/>
      <c r="BF113" s="55"/>
      <c r="BG113" s="55"/>
      <c r="BH113" s="55"/>
      <c r="BI113" s="55"/>
    </row>
    <row r="114" spans="1:61" x14ac:dyDescent="0.3">
      <c r="A114" s="193" t="s">
        <v>410</v>
      </c>
      <c r="B114" s="194">
        <v>0.5</v>
      </c>
      <c r="C114" s="194">
        <v>0.57099999999999995</v>
      </c>
      <c r="D114" s="194">
        <v>28</v>
      </c>
      <c r="E114" s="194">
        <v>0.48799999999999999</v>
      </c>
      <c r="F114" s="194">
        <v>0.42899999999999999</v>
      </c>
      <c r="G114" s="194">
        <v>28</v>
      </c>
      <c r="H114" s="194">
        <v>0.51200000000000001</v>
      </c>
      <c r="I114" s="194">
        <v>0.46700000000000003</v>
      </c>
      <c r="J114" s="194">
        <v>30</v>
      </c>
      <c r="K114" s="194">
        <v>0.59299999999999997</v>
      </c>
      <c r="L114" s="194">
        <v>0.68200000000000005</v>
      </c>
      <c r="M114" s="194">
        <v>22</v>
      </c>
      <c r="N114" s="194">
        <v>0.67900000000000005</v>
      </c>
      <c r="O114" s="194">
        <v>0.65500000000000003</v>
      </c>
      <c r="P114" s="194">
        <v>29</v>
      </c>
      <c r="Q114" s="194">
        <v>0.58699999999999997</v>
      </c>
      <c r="R114" s="194">
        <v>0.7</v>
      </c>
      <c r="S114" s="194">
        <v>30</v>
      </c>
      <c r="T114" s="194">
        <v>0.59499999999999997</v>
      </c>
      <c r="U114" s="194">
        <v>0.42399999999999999</v>
      </c>
      <c r="V114" s="194">
        <v>33</v>
      </c>
      <c r="W114" s="194">
        <v>0.58499999999999996</v>
      </c>
      <c r="X114" s="194">
        <v>0.75</v>
      </c>
      <c r="Y114" s="194">
        <v>16</v>
      </c>
      <c r="Z114" s="194">
        <v>0.70299999999999996</v>
      </c>
      <c r="AA114" s="194">
        <v>0.75</v>
      </c>
      <c r="AB114" s="194">
        <v>16</v>
      </c>
      <c r="AC114" s="194">
        <v>0.67100000000000004</v>
      </c>
      <c r="AD114" s="194">
        <v>0.65600000000000003</v>
      </c>
      <c r="AE114" s="194">
        <v>32</v>
      </c>
      <c r="AF114" s="194">
        <v>0.62</v>
      </c>
      <c r="AG114" s="194">
        <v>0.64700000000000002</v>
      </c>
      <c r="AH114" s="194">
        <v>34</v>
      </c>
      <c r="AI114" s="194">
        <v>0.60299999999999998</v>
      </c>
      <c r="AJ114" s="194">
        <v>0.55900000000000005</v>
      </c>
      <c r="AK114" s="194">
        <v>34</v>
      </c>
      <c r="AL114" s="55"/>
      <c r="AM114" s="55"/>
      <c r="AN114" s="55"/>
      <c r="AO114" s="55"/>
      <c r="AP114" s="55"/>
      <c r="AQ114" s="55"/>
      <c r="AR114" s="55"/>
      <c r="AS114" s="55"/>
      <c r="AT114" s="55"/>
      <c r="AU114" s="55"/>
      <c r="AV114" s="55"/>
      <c r="AW114" s="55"/>
      <c r="AX114" s="55"/>
      <c r="AY114" s="55"/>
      <c r="AZ114" s="55"/>
      <c r="BA114" s="55"/>
      <c r="BB114" s="55"/>
      <c r="BC114" s="55"/>
      <c r="BD114" s="55"/>
      <c r="BE114" s="55"/>
      <c r="BF114" s="55"/>
      <c r="BG114" s="55"/>
      <c r="BH114" s="55"/>
      <c r="BI114" s="55"/>
    </row>
    <row r="115" spans="1:61" x14ac:dyDescent="0.3">
      <c r="A115" s="193" t="s">
        <v>460</v>
      </c>
      <c r="B115" s="194">
        <v>0.59199999999999997</v>
      </c>
      <c r="C115" s="194">
        <v>0.55600000000000005</v>
      </c>
      <c r="D115" s="194">
        <v>18</v>
      </c>
      <c r="E115" s="194">
        <v>0.46800000000000003</v>
      </c>
      <c r="F115" s="194">
        <v>0.61299999999999999</v>
      </c>
      <c r="G115" s="194">
        <v>31</v>
      </c>
      <c r="H115" s="194">
        <v>0.46400000000000002</v>
      </c>
      <c r="I115" s="194">
        <v>0.25</v>
      </c>
      <c r="J115" s="194">
        <v>28</v>
      </c>
      <c r="K115" s="194">
        <v>0.53900000000000003</v>
      </c>
      <c r="L115" s="194">
        <v>0.52</v>
      </c>
      <c r="M115" s="194">
        <v>25</v>
      </c>
      <c r="N115" s="194">
        <v>0.77800000000000002</v>
      </c>
      <c r="O115" s="194">
        <v>0.91300000000000003</v>
      </c>
      <c r="P115" s="194">
        <v>23</v>
      </c>
      <c r="Q115" s="194">
        <v>0.88200000000000001</v>
      </c>
      <c r="R115" s="194">
        <v>0.879</v>
      </c>
      <c r="S115" s="194">
        <v>33</v>
      </c>
      <c r="T115" s="194">
        <v>0.85199999999999998</v>
      </c>
      <c r="U115" s="194">
        <v>0.83299999999999996</v>
      </c>
      <c r="V115" s="194">
        <v>12</v>
      </c>
      <c r="W115" s="194">
        <v>0.85699999999999998</v>
      </c>
      <c r="X115" s="194">
        <v>0.81299999999999994</v>
      </c>
      <c r="Y115" s="194">
        <v>16</v>
      </c>
      <c r="Z115" s="194">
        <v>0.875</v>
      </c>
      <c r="AA115" s="194">
        <v>0.92900000000000005</v>
      </c>
      <c r="AB115" s="194">
        <v>14</v>
      </c>
      <c r="AC115" s="194">
        <v>0.85699999999999998</v>
      </c>
      <c r="AD115" s="194">
        <v>0.88900000000000001</v>
      </c>
      <c r="AE115" s="194">
        <v>18</v>
      </c>
      <c r="AF115" s="194">
        <v>0.82499999999999996</v>
      </c>
      <c r="AG115" s="194">
        <v>0.76500000000000001</v>
      </c>
      <c r="AH115" s="194">
        <v>17</v>
      </c>
      <c r="AI115" s="194">
        <v>0.79500000000000004</v>
      </c>
      <c r="AJ115" s="194">
        <v>0.81799999999999995</v>
      </c>
      <c r="AK115" s="194">
        <v>22</v>
      </c>
      <c r="AL115" s="55"/>
      <c r="AM115" s="55"/>
      <c r="AN115" s="55"/>
      <c r="AO115" s="55"/>
      <c r="AP115" s="55"/>
      <c r="AQ115" s="55"/>
      <c r="AR115" s="55"/>
      <c r="AS115" s="55"/>
      <c r="AT115" s="55"/>
      <c r="AU115" s="55"/>
      <c r="AV115" s="55"/>
      <c r="AW115" s="55"/>
      <c r="AX115" s="55"/>
      <c r="AY115" s="55"/>
      <c r="AZ115" s="55"/>
      <c r="BA115" s="55"/>
      <c r="BB115" s="55"/>
      <c r="BC115" s="55"/>
      <c r="BD115" s="55"/>
      <c r="BE115" s="55"/>
      <c r="BF115" s="55"/>
      <c r="BG115" s="55"/>
      <c r="BH115" s="55"/>
      <c r="BI115" s="55"/>
    </row>
    <row r="116" spans="1:61" x14ac:dyDescent="0.3">
      <c r="A116" s="193" t="s">
        <v>288</v>
      </c>
      <c r="B116" s="194">
        <v>0.71399999999999997</v>
      </c>
      <c r="C116" s="194">
        <v>0.66700000000000004</v>
      </c>
      <c r="D116" s="194">
        <v>18</v>
      </c>
      <c r="E116" s="194">
        <v>0.70699999999999996</v>
      </c>
      <c r="F116" s="194">
        <v>0.76500000000000001</v>
      </c>
      <c r="G116" s="194">
        <v>17</v>
      </c>
      <c r="H116" s="194">
        <v>0.70699999999999996</v>
      </c>
      <c r="I116" s="194">
        <v>0.69599999999999995</v>
      </c>
      <c r="J116" s="194">
        <v>23</v>
      </c>
      <c r="K116" s="194">
        <v>0.64300000000000002</v>
      </c>
      <c r="L116" s="194">
        <v>0.66700000000000004</v>
      </c>
      <c r="M116" s="194">
        <v>18</v>
      </c>
      <c r="N116" s="194">
        <v>0.52100000000000002</v>
      </c>
      <c r="O116" s="194">
        <v>0.53300000000000003</v>
      </c>
      <c r="P116" s="194">
        <v>15</v>
      </c>
      <c r="Q116" s="194">
        <v>0.38100000000000001</v>
      </c>
      <c r="R116" s="194">
        <v>0.33300000000000002</v>
      </c>
      <c r="S116" s="194">
        <v>15</v>
      </c>
      <c r="T116" s="194">
        <v>0.42899999999999999</v>
      </c>
      <c r="U116" s="194">
        <v>0.25</v>
      </c>
      <c r="V116" s="194">
        <v>12</v>
      </c>
      <c r="W116" s="194">
        <v>0.54800000000000004</v>
      </c>
      <c r="X116" s="194">
        <v>0.66700000000000004</v>
      </c>
      <c r="Y116" s="194">
        <v>15</v>
      </c>
      <c r="Z116" s="194">
        <v>0.67500000000000004</v>
      </c>
      <c r="AA116" s="194">
        <v>0.66700000000000004</v>
      </c>
      <c r="AB116" s="194">
        <v>15</v>
      </c>
      <c r="AC116" s="194">
        <v>0.68799999999999994</v>
      </c>
      <c r="AD116" s="194">
        <v>0.7</v>
      </c>
      <c r="AE116" s="194">
        <v>10</v>
      </c>
      <c r="AF116" s="194">
        <v>0.66700000000000004</v>
      </c>
      <c r="AG116" s="194">
        <v>0.71399999999999997</v>
      </c>
      <c r="AH116" s="194">
        <v>7</v>
      </c>
      <c r="AI116" s="194">
        <v>0.65</v>
      </c>
      <c r="AJ116" s="194">
        <v>0.61499999999999999</v>
      </c>
      <c r="AK116" s="194">
        <v>13</v>
      </c>
      <c r="AL116" s="55"/>
      <c r="AM116" s="55"/>
      <c r="AN116" s="55"/>
      <c r="AO116" s="55"/>
      <c r="AP116" s="55"/>
      <c r="AQ116" s="55"/>
      <c r="AR116" s="55"/>
      <c r="AS116" s="55"/>
      <c r="AT116" s="55"/>
      <c r="AU116" s="55"/>
      <c r="AV116" s="55"/>
      <c r="AW116" s="55"/>
      <c r="AX116" s="55"/>
      <c r="AY116" s="55"/>
      <c r="AZ116" s="55"/>
      <c r="BA116" s="55"/>
      <c r="BB116" s="55"/>
      <c r="BC116" s="55"/>
      <c r="BD116" s="55"/>
      <c r="BE116" s="55"/>
      <c r="BF116" s="55"/>
      <c r="BG116" s="55"/>
      <c r="BH116" s="55"/>
      <c r="BI116" s="55"/>
    </row>
    <row r="117" spans="1:61" x14ac:dyDescent="0.3">
      <c r="A117" s="193" t="s">
        <v>388</v>
      </c>
      <c r="B117" s="194">
        <v>1</v>
      </c>
      <c r="C117" s="194">
        <v>1</v>
      </c>
      <c r="D117" s="194">
        <v>13</v>
      </c>
      <c r="E117" s="194">
        <v>1</v>
      </c>
      <c r="F117" s="194">
        <v>1</v>
      </c>
      <c r="G117" s="194">
        <v>14</v>
      </c>
      <c r="H117" s="194">
        <v>0.97399999999999998</v>
      </c>
      <c r="I117" s="194">
        <v>1</v>
      </c>
      <c r="J117" s="194">
        <v>12</v>
      </c>
      <c r="K117" s="194">
        <v>0.96599999999999997</v>
      </c>
      <c r="L117" s="194">
        <v>0.91700000000000004</v>
      </c>
      <c r="M117" s="194">
        <v>12</v>
      </c>
      <c r="N117" s="194">
        <v>0.83299999999999996</v>
      </c>
      <c r="O117" s="194">
        <v>1</v>
      </c>
      <c r="P117" s="194">
        <v>5</v>
      </c>
      <c r="Q117" s="194">
        <v>0.65</v>
      </c>
      <c r="R117" s="194">
        <v>0.57099999999999995</v>
      </c>
      <c r="S117" s="194">
        <v>7</v>
      </c>
      <c r="T117" s="194">
        <v>0.69699999999999995</v>
      </c>
      <c r="U117" s="194">
        <v>0.5</v>
      </c>
      <c r="V117" s="194">
        <v>8</v>
      </c>
      <c r="W117" s="194">
        <v>0.76600000000000001</v>
      </c>
      <c r="X117" s="194">
        <v>0.83299999999999996</v>
      </c>
      <c r="Y117" s="194">
        <v>18</v>
      </c>
      <c r="Z117" s="194">
        <v>0.90300000000000002</v>
      </c>
      <c r="AA117" s="194">
        <v>0.81</v>
      </c>
      <c r="AB117" s="194">
        <v>21</v>
      </c>
      <c r="AC117" s="194">
        <v>0.9</v>
      </c>
      <c r="AD117" s="194">
        <v>1</v>
      </c>
      <c r="AE117" s="194">
        <v>33</v>
      </c>
      <c r="AF117" s="194">
        <v>0.90900000000000003</v>
      </c>
      <c r="AG117" s="194">
        <v>0.84599999999999997</v>
      </c>
      <c r="AH117" s="194">
        <v>26</v>
      </c>
      <c r="AI117" s="194">
        <v>0.84099999999999997</v>
      </c>
      <c r="AJ117" s="194">
        <v>0.83299999999999996</v>
      </c>
      <c r="AK117" s="194">
        <v>18</v>
      </c>
      <c r="AL117" s="55"/>
      <c r="AM117" s="55"/>
      <c r="AN117" s="55"/>
      <c r="AO117" s="55"/>
      <c r="AP117" s="55"/>
      <c r="AQ117" s="55"/>
      <c r="AR117" s="55"/>
      <c r="AS117" s="55"/>
      <c r="AT117" s="55"/>
      <c r="AU117" s="55"/>
      <c r="AV117" s="55"/>
      <c r="AW117" s="55"/>
      <c r="AX117" s="55"/>
      <c r="AY117" s="55"/>
      <c r="AZ117" s="55"/>
      <c r="BA117" s="55"/>
      <c r="BB117" s="55"/>
      <c r="BC117" s="55"/>
      <c r="BD117" s="55"/>
      <c r="BE117" s="55"/>
      <c r="BF117" s="55"/>
      <c r="BG117" s="55"/>
      <c r="BH117" s="55"/>
      <c r="BI117" s="55"/>
    </row>
    <row r="118" spans="1:61" x14ac:dyDescent="0.3">
      <c r="A118" s="193" t="s">
        <v>322</v>
      </c>
      <c r="B118" s="194">
        <v>0.54500000000000004</v>
      </c>
      <c r="C118" s="194">
        <v>0.33300000000000002</v>
      </c>
      <c r="D118" s="194">
        <v>3</v>
      </c>
      <c r="E118" s="194">
        <v>0.5</v>
      </c>
      <c r="F118" s="194">
        <v>0.625</v>
      </c>
      <c r="G118" s="194">
        <v>8</v>
      </c>
      <c r="H118" s="194">
        <v>0.52600000000000002</v>
      </c>
      <c r="I118" s="194">
        <v>0.33300000000000002</v>
      </c>
      <c r="J118" s="194">
        <v>3</v>
      </c>
      <c r="K118" s="194">
        <v>0.53300000000000003</v>
      </c>
      <c r="L118" s="194">
        <v>0.5</v>
      </c>
      <c r="M118" s="194">
        <v>8</v>
      </c>
      <c r="N118" s="194">
        <v>0.61099999999999999</v>
      </c>
      <c r="O118" s="194">
        <v>0.75</v>
      </c>
      <c r="P118" s="194">
        <v>4</v>
      </c>
      <c r="Q118" s="194">
        <v>0.69199999999999995</v>
      </c>
      <c r="R118" s="194">
        <v>0.66700000000000004</v>
      </c>
      <c r="S118" s="194">
        <v>6</v>
      </c>
      <c r="T118" s="194">
        <v>0.81299999999999994</v>
      </c>
      <c r="U118" s="194">
        <v>0.66700000000000004</v>
      </c>
      <c r="V118" s="194">
        <v>3</v>
      </c>
      <c r="W118" s="194">
        <v>0.75</v>
      </c>
      <c r="X118" s="194">
        <v>1</v>
      </c>
      <c r="Y118" s="194">
        <v>7</v>
      </c>
      <c r="Z118" s="194">
        <v>0.76500000000000001</v>
      </c>
      <c r="AA118" s="194">
        <v>0.5</v>
      </c>
      <c r="AB118" s="194">
        <v>6</v>
      </c>
      <c r="AC118" s="194">
        <v>0.81799999999999995</v>
      </c>
      <c r="AD118" s="194">
        <v>0.75</v>
      </c>
      <c r="AE118" s="194">
        <v>4</v>
      </c>
      <c r="AF118" s="194">
        <v>0.86799999999999999</v>
      </c>
      <c r="AG118" s="194">
        <v>0.91300000000000003</v>
      </c>
      <c r="AH118" s="194">
        <v>23</v>
      </c>
      <c r="AI118" s="194">
        <v>0.88200000000000001</v>
      </c>
      <c r="AJ118" s="194">
        <v>0.81799999999999995</v>
      </c>
      <c r="AK118" s="194">
        <v>11</v>
      </c>
      <c r="AL118" s="55"/>
      <c r="AM118" s="55"/>
      <c r="AN118" s="55"/>
      <c r="AO118" s="55"/>
      <c r="AP118" s="55"/>
      <c r="AQ118" s="55"/>
      <c r="AR118" s="55"/>
      <c r="AS118" s="55"/>
      <c r="AT118" s="55"/>
      <c r="AU118" s="55"/>
      <c r="AV118" s="55"/>
      <c r="AW118" s="55"/>
      <c r="AX118" s="55"/>
      <c r="AY118" s="55"/>
      <c r="AZ118" s="55"/>
      <c r="BA118" s="55"/>
      <c r="BB118" s="55"/>
      <c r="BC118" s="55"/>
      <c r="BD118" s="55"/>
      <c r="BE118" s="55"/>
      <c r="BF118" s="55"/>
      <c r="BG118" s="55"/>
      <c r="BH118" s="55"/>
      <c r="BI118" s="55"/>
    </row>
    <row r="119" spans="1:61" x14ac:dyDescent="0.3">
      <c r="A119" s="193" t="s">
        <v>299</v>
      </c>
      <c r="B119" s="194">
        <v>0.129</v>
      </c>
      <c r="C119" s="194">
        <v>0.1</v>
      </c>
      <c r="D119" s="194">
        <v>20</v>
      </c>
      <c r="E119" s="194">
        <v>0.188</v>
      </c>
      <c r="F119" s="194">
        <v>0.182</v>
      </c>
      <c r="G119" s="194">
        <v>11</v>
      </c>
      <c r="H119" s="194">
        <v>0.29699999999999999</v>
      </c>
      <c r="I119" s="194">
        <v>0.29399999999999998</v>
      </c>
      <c r="J119" s="194">
        <v>17</v>
      </c>
      <c r="K119" s="194">
        <v>0.30299999999999999</v>
      </c>
      <c r="L119" s="194">
        <v>0.44400000000000001</v>
      </c>
      <c r="M119" s="194">
        <v>9</v>
      </c>
      <c r="N119" s="194">
        <v>0.28599999999999998</v>
      </c>
      <c r="O119" s="194">
        <v>0.14299999999999999</v>
      </c>
      <c r="P119" s="194">
        <v>7</v>
      </c>
      <c r="Q119" s="194">
        <v>0.20699999999999999</v>
      </c>
      <c r="R119" s="194">
        <v>0.25</v>
      </c>
      <c r="S119" s="194">
        <v>12</v>
      </c>
      <c r="T119" s="194">
        <v>0.28100000000000003</v>
      </c>
      <c r="U119" s="194">
        <v>0.2</v>
      </c>
      <c r="V119" s="194">
        <v>10</v>
      </c>
      <c r="W119" s="194">
        <v>0.36699999999999999</v>
      </c>
      <c r="X119" s="194">
        <v>0.4</v>
      </c>
      <c r="Y119" s="194">
        <v>10</v>
      </c>
      <c r="Z119" s="194">
        <v>0.58599999999999997</v>
      </c>
      <c r="AA119" s="194">
        <v>0.5</v>
      </c>
      <c r="AB119" s="194">
        <v>10</v>
      </c>
      <c r="AC119" s="194">
        <v>0.75</v>
      </c>
      <c r="AD119" s="194">
        <v>0.88900000000000001</v>
      </c>
      <c r="AE119" s="194">
        <v>9</v>
      </c>
      <c r="AF119" s="194">
        <v>0.85199999999999998</v>
      </c>
      <c r="AG119" s="194">
        <v>1</v>
      </c>
      <c r="AH119" s="194">
        <v>5</v>
      </c>
      <c r="AI119" s="194">
        <v>0.83299999999999996</v>
      </c>
      <c r="AJ119" s="194">
        <v>0.76900000000000002</v>
      </c>
      <c r="AK119" s="194">
        <v>13</v>
      </c>
      <c r="AL119" s="55"/>
      <c r="AM119" s="55"/>
      <c r="AN119" s="55"/>
      <c r="AO119" s="55"/>
      <c r="AP119" s="55"/>
      <c r="AQ119" s="55"/>
      <c r="AR119" s="55"/>
      <c r="AS119" s="55"/>
      <c r="AT119" s="55"/>
      <c r="AU119" s="55"/>
      <c r="AV119" s="55"/>
      <c r="AW119" s="55"/>
      <c r="AX119" s="55"/>
      <c r="AY119" s="55"/>
      <c r="AZ119" s="55"/>
      <c r="BA119" s="55"/>
      <c r="BB119" s="55"/>
      <c r="BC119" s="55"/>
      <c r="BD119" s="55"/>
      <c r="BE119" s="55"/>
      <c r="BF119" s="55"/>
      <c r="BG119" s="55"/>
      <c r="BH119" s="55"/>
      <c r="BI119" s="55"/>
    </row>
    <row r="120" spans="1:61" x14ac:dyDescent="0.3">
      <c r="A120" s="193" t="s">
        <v>343</v>
      </c>
      <c r="B120" s="194">
        <v>0.81799999999999995</v>
      </c>
      <c r="C120" s="194">
        <v>0.879</v>
      </c>
      <c r="D120" s="194">
        <v>33</v>
      </c>
      <c r="E120" s="194">
        <v>0.80400000000000005</v>
      </c>
      <c r="F120" s="194">
        <v>0.75800000000000001</v>
      </c>
      <c r="G120" s="194">
        <v>33</v>
      </c>
      <c r="H120" s="194">
        <v>0.79800000000000004</v>
      </c>
      <c r="I120" s="194">
        <v>0.77400000000000002</v>
      </c>
      <c r="J120" s="194">
        <v>31</v>
      </c>
      <c r="K120" s="194">
        <v>0.83099999999999996</v>
      </c>
      <c r="L120" s="194">
        <v>0.9</v>
      </c>
      <c r="M120" s="194">
        <v>20</v>
      </c>
      <c r="N120" s="194">
        <v>0.87</v>
      </c>
      <c r="O120" s="194">
        <v>0.85699999999999998</v>
      </c>
      <c r="P120" s="194">
        <v>14</v>
      </c>
      <c r="Q120" s="194">
        <v>0.88700000000000001</v>
      </c>
      <c r="R120" s="194">
        <v>0.85</v>
      </c>
      <c r="S120" s="194">
        <v>20</v>
      </c>
      <c r="T120" s="194">
        <v>0.88200000000000001</v>
      </c>
      <c r="U120" s="194">
        <v>0.94699999999999995</v>
      </c>
      <c r="V120" s="194">
        <v>19</v>
      </c>
      <c r="W120" s="194">
        <v>0.91600000000000004</v>
      </c>
      <c r="X120" s="194">
        <v>0.86499999999999999</v>
      </c>
      <c r="Y120" s="194">
        <v>37</v>
      </c>
      <c r="Z120" s="194">
        <v>0.91700000000000004</v>
      </c>
      <c r="AA120" s="194">
        <v>0.94899999999999995</v>
      </c>
      <c r="AB120" s="194">
        <v>39</v>
      </c>
      <c r="AC120" s="194">
        <v>0.86199999999999999</v>
      </c>
      <c r="AD120" s="194">
        <v>0.93899999999999995</v>
      </c>
      <c r="AE120" s="194">
        <v>33</v>
      </c>
      <c r="AF120" s="194">
        <v>0.83799999999999997</v>
      </c>
      <c r="AG120" s="194">
        <v>0.72699999999999998</v>
      </c>
      <c r="AH120" s="194">
        <v>44</v>
      </c>
      <c r="AI120" s="194">
        <v>0.79500000000000004</v>
      </c>
      <c r="AJ120" s="194">
        <v>0.88200000000000001</v>
      </c>
      <c r="AK120" s="194">
        <v>34</v>
      </c>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row>
    <row r="121" spans="1:61" x14ac:dyDescent="0.3">
      <c r="A121" s="193" t="s">
        <v>466</v>
      </c>
      <c r="B121" s="194">
        <v>0.90900000000000003</v>
      </c>
      <c r="C121" s="194">
        <v>0.94099999999999995</v>
      </c>
      <c r="D121" s="194">
        <v>17</v>
      </c>
      <c r="E121" s="194">
        <v>0.84699999999999998</v>
      </c>
      <c r="F121" s="194">
        <v>0.875</v>
      </c>
      <c r="G121" s="194">
        <v>16</v>
      </c>
      <c r="H121" s="194">
        <v>0.81</v>
      </c>
      <c r="I121" s="194">
        <v>0.76900000000000002</v>
      </c>
      <c r="J121" s="194">
        <v>26</v>
      </c>
      <c r="K121" s="194">
        <v>0.67200000000000004</v>
      </c>
      <c r="L121" s="194">
        <v>0.81299999999999994</v>
      </c>
      <c r="M121" s="194">
        <v>16</v>
      </c>
      <c r="N121" s="194">
        <v>0.64400000000000002</v>
      </c>
      <c r="O121" s="194">
        <v>0.48</v>
      </c>
      <c r="P121" s="194">
        <v>25</v>
      </c>
      <c r="Q121" s="194">
        <v>0.60799999999999998</v>
      </c>
      <c r="R121" s="194">
        <v>0.68799999999999994</v>
      </c>
      <c r="S121" s="194">
        <v>32</v>
      </c>
      <c r="T121" s="194">
        <v>0.71599999999999997</v>
      </c>
      <c r="U121" s="194">
        <v>0.63600000000000001</v>
      </c>
      <c r="V121" s="194">
        <v>22</v>
      </c>
      <c r="W121" s="194">
        <v>0.83099999999999996</v>
      </c>
      <c r="X121" s="194">
        <v>0.85</v>
      </c>
      <c r="Y121" s="194">
        <v>20</v>
      </c>
      <c r="Z121" s="194">
        <v>0.93300000000000005</v>
      </c>
      <c r="AA121" s="194">
        <v>1</v>
      </c>
      <c r="AB121" s="194">
        <v>23</v>
      </c>
      <c r="AC121" s="194">
        <v>0.94699999999999995</v>
      </c>
      <c r="AD121" s="194">
        <v>0.94099999999999995</v>
      </c>
      <c r="AE121" s="194">
        <v>17</v>
      </c>
      <c r="AF121" s="194">
        <v>0.94199999999999995</v>
      </c>
      <c r="AG121" s="194">
        <v>0.88200000000000001</v>
      </c>
      <c r="AH121" s="194">
        <v>17</v>
      </c>
      <c r="AI121" s="194">
        <v>0.94199999999999995</v>
      </c>
      <c r="AJ121" s="194">
        <v>0.97099999999999997</v>
      </c>
      <c r="AK121" s="194">
        <v>35</v>
      </c>
      <c r="AL121" s="55"/>
      <c r="AM121" s="55"/>
      <c r="AN121" s="55"/>
      <c r="AO121" s="55"/>
      <c r="AP121" s="55"/>
      <c r="AQ121" s="55"/>
      <c r="AR121" s="55"/>
      <c r="AS121" s="55"/>
      <c r="AT121" s="55"/>
      <c r="AU121" s="55"/>
      <c r="AV121" s="55"/>
      <c r="AW121" s="55"/>
      <c r="AX121" s="55"/>
      <c r="AY121" s="55"/>
      <c r="AZ121" s="55"/>
      <c r="BA121" s="55"/>
      <c r="BB121" s="55"/>
      <c r="BC121" s="55"/>
      <c r="BD121" s="55"/>
      <c r="BE121" s="55"/>
      <c r="BF121" s="55"/>
      <c r="BG121" s="55"/>
      <c r="BH121" s="55"/>
      <c r="BI121" s="55"/>
    </row>
    <row r="122" spans="1:61" x14ac:dyDescent="0.3">
      <c r="A122" s="193" t="s">
        <v>376</v>
      </c>
      <c r="B122" s="194">
        <v>0.78700000000000003</v>
      </c>
      <c r="C122" s="194">
        <v>0.92600000000000005</v>
      </c>
      <c r="D122" s="194">
        <v>27</v>
      </c>
      <c r="E122" s="194">
        <v>0.77900000000000003</v>
      </c>
      <c r="F122" s="194">
        <v>0.6</v>
      </c>
      <c r="G122" s="194">
        <v>20</v>
      </c>
      <c r="H122" s="194">
        <v>0.74</v>
      </c>
      <c r="I122" s="194">
        <v>0.76200000000000001</v>
      </c>
      <c r="J122" s="194">
        <v>21</v>
      </c>
      <c r="K122" s="194">
        <v>0.84599999999999997</v>
      </c>
      <c r="L122" s="194">
        <v>0.81299999999999994</v>
      </c>
      <c r="M122" s="194">
        <v>32</v>
      </c>
      <c r="N122" s="194">
        <v>0.872</v>
      </c>
      <c r="O122" s="194">
        <v>0.96</v>
      </c>
      <c r="P122" s="194">
        <v>25</v>
      </c>
      <c r="Q122" s="194">
        <v>0.93899999999999995</v>
      </c>
      <c r="R122" s="194">
        <v>0.86199999999999999</v>
      </c>
      <c r="S122" s="194">
        <v>29</v>
      </c>
      <c r="T122" s="194">
        <v>0.94399999999999995</v>
      </c>
      <c r="U122" s="194">
        <v>0.97799999999999998</v>
      </c>
      <c r="V122" s="194">
        <v>45</v>
      </c>
      <c r="W122" s="194">
        <v>0.94599999999999995</v>
      </c>
      <c r="X122" s="194">
        <v>0.96099999999999997</v>
      </c>
      <c r="Y122" s="194">
        <v>51</v>
      </c>
      <c r="Z122" s="194">
        <v>0.91</v>
      </c>
      <c r="AA122" s="194">
        <v>0.90200000000000002</v>
      </c>
      <c r="AB122" s="194">
        <v>51</v>
      </c>
      <c r="AC122" s="194">
        <v>0.877</v>
      </c>
      <c r="AD122" s="194">
        <v>0.84399999999999997</v>
      </c>
      <c r="AE122" s="194">
        <v>32</v>
      </c>
      <c r="AF122" s="194">
        <v>0.85699999999999998</v>
      </c>
      <c r="AG122" s="194">
        <v>0.871</v>
      </c>
      <c r="AH122" s="194">
        <v>31</v>
      </c>
      <c r="AI122" s="194">
        <v>0.86299999999999999</v>
      </c>
      <c r="AJ122" s="194">
        <v>0.85699999999999998</v>
      </c>
      <c r="AK122" s="194">
        <v>42</v>
      </c>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row>
    <row r="123" spans="1:61" x14ac:dyDescent="0.3">
      <c r="A123" s="193" t="s">
        <v>534</v>
      </c>
      <c r="B123" s="194">
        <v>0.59799999999999998</v>
      </c>
      <c r="C123" s="194">
        <v>0.56499999999999995</v>
      </c>
      <c r="D123" s="194">
        <v>46</v>
      </c>
      <c r="E123" s="194">
        <v>0.55600000000000005</v>
      </c>
      <c r="F123" s="194">
        <v>0.63</v>
      </c>
      <c r="G123" s="194">
        <v>46</v>
      </c>
      <c r="H123" s="194">
        <v>0.57999999999999996</v>
      </c>
      <c r="I123" s="194">
        <v>0.46500000000000002</v>
      </c>
      <c r="J123" s="194">
        <v>43</v>
      </c>
      <c r="K123" s="194">
        <v>0.55800000000000005</v>
      </c>
      <c r="L123" s="194">
        <v>0.69599999999999995</v>
      </c>
      <c r="M123" s="194">
        <v>23</v>
      </c>
      <c r="N123" s="194">
        <v>0.61499999999999999</v>
      </c>
      <c r="O123" s="194">
        <v>0.57399999999999995</v>
      </c>
      <c r="P123" s="194">
        <v>47</v>
      </c>
      <c r="Q123" s="194">
        <v>0.58799999999999997</v>
      </c>
      <c r="R123" s="194">
        <v>0.61699999999999999</v>
      </c>
      <c r="S123" s="194">
        <v>47</v>
      </c>
      <c r="T123" s="194">
        <v>0.51400000000000001</v>
      </c>
      <c r="U123" s="194">
        <v>0.57399999999999995</v>
      </c>
      <c r="V123" s="194">
        <v>54</v>
      </c>
      <c r="W123" s="194">
        <v>0.46600000000000003</v>
      </c>
      <c r="X123" s="194">
        <v>0.33300000000000002</v>
      </c>
      <c r="Y123" s="194">
        <v>45</v>
      </c>
      <c r="Z123" s="194">
        <v>0.42399999999999999</v>
      </c>
      <c r="AA123" s="194">
        <v>0.46899999999999997</v>
      </c>
      <c r="AB123" s="194">
        <v>32</v>
      </c>
      <c r="AC123" s="194">
        <v>0.5</v>
      </c>
      <c r="AD123" s="194">
        <v>0.47899999999999998</v>
      </c>
      <c r="AE123" s="194">
        <v>48</v>
      </c>
      <c r="AF123" s="194">
        <v>0.54</v>
      </c>
      <c r="AG123" s="194">
        <v>0.54</v>
      </c>
      <c r="AH123" s="194">
        <v>50</v>
      </c>
      <c r="AI123" s="194">
        <v>0.57299999999999995</v>
      </c>
      <c r="AJ123" s="194">
        <v>0.61499999999999999</v>
      </c>
      <c r="AK123" s="194">
        <v>39</v>
      </c>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row>
    <row r="124" spans="1:61" x14ac:dyDescent="0.3">
      <c r="A124" s="193"/>
      <c r="B124" s="194"/>
      <c r="C124" s="194"/>
      <c r="D124" s="194"/>
      <c r="E124" s="194"/>
      <c r="F124" s="194"/>
      <c r="G124" s="194"/>
      <c r="H124" s="194"/>
      <c r="I124" s="194"/>
      <c r="J124" s="194"/>
      <c r="K124" s="194"/>
      <c r="L124" s="194"/>
      <c r="M124" s="194"/>
      <c r="N124" s="194"/>
      <c r="O124" s="194"/>
      <c r="P124" s="194"/>
      <c r="Q124" s="194"/>
      <c r="R124" s="194"/>
      <c r="S124" s="194"/>
      <c r="T124" s="194"/>
      <c r="U124" s="194"/>
      <c r="V124" s="194"/>
      <c r="W124" s="194"/>
      <c r="X124" s="194"/>
      <c r="Y124" s="194"/>
      <c r="Z124" s="194"/>
      <c r="AA124" s="194"/>
      <c r="AB124" s="194"/>
      <c r="AC124" s="194"/>
      <c r="AD124" s="194"/>
      <c r="AE124" s="194"/>
      <c r="AF124" s="194"/>
      <c r="AG124" s="194"/>
      <c r="AH124" s="194"/>
      <c r="AI124" s="194"/>
      <c r="AJ124" s="194"/>
      <c r="AK124" s="194"/>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7D01D-3A65-447F-8A20-A448C2570C74}">
  <sheetPr>
    <tabColor theme="9" tint="0.79998168889431442"/>
  </sheetPr>
  <dimension ref="A1:BI124"/>
  <sheetViews>
    <sheetView workbookViewId="0">
      <pane xSplit="1" ySplit="1" topLeftCell="B86" activePane="bottomRight" state="frozen"/>
      <selection pane="topRight" activeCell="B1" sqref="B1"/>
      <selection pane="bottomLeft" activeCell="A2" sqref="A2"/>
      <selection pane="bottomRight" sqref="A1:V123"/>
    </sheetView>
  </sheetViews>
  <sheetFormatPr defaultRowHeight="14.4" x14ac:dyDescent="0.3"/>
  <cols>
    <col min="2" max="5" width="8.6640625" style="120"/>
    <col min="10" max="10" width="10.5546875" customWidth="1"/>
    <col min="13" max="13" width="10.44140625" customWidth="1"/>
    <col min="16" max="16" width="11.33203125" customWidth="1"/>
    <col min="19" max="19" width="10.109375" customWidth="1"/>
    <col min="22" max="22" width="10.6640625" customWidth="1"/>
    <col min="25" max="25" width="11.109375" customWidth="1"/>
    <col min="28" max="28" width="10.88671875" customWidth="1"/>
    <col min="31" max="31" width="10.88671875" customWidth="1"/>
    <col min="34" max="34" width="12" customWidth="1"/>
    <col min="37" max="37" width="11.33203125" customWidth="1"/>
  </cols>
  <sheetData>
    <row r="1" spans="1:61" x14ac:dyDescent="0.3">
      <c r="A1" s="193" t="s">
        <v>259</v>
      </c>
      <c r="B1" s="193" t="s">
        <v>138</v>
      </c>
      <c r="C1" s="193" t="s">
        <v>125</v>
      </c>
      <c r="D1" s="193" t="s">
        <v>112</v>
      </c>
      <c r="E1" s="193" t="s">
        <v>139</v>
      </c>
      <c r="F1" s="193" t="s">
        <v>126</v>
      </c>
      <c r="G1" s="193" t="s">
        <v>113</v>
      </c>
      <c r="H1" s="193" t="s">
        <v>140</v>
      </c>
      <c r="I1" s="193" t="s">
        <v>127</v>
      </c>
      <c r="J1" s="193" t="s">
        <v>114</v>
      </c>
      <c r="K1" s="193" t="s">
        <v>141</v>
      </c>
      <c r="L1" s="193" t="s">
        <v>128</v>
      </c>
      <c r="M1" s="193" t="s">
        <v>115</v>
      </c>
      <c r="N1" s="193" t="s">
        <v>142</v>
      </c>
      <c r="O1" s="193" t="s">
        <v>129</v>
      </c>
      <c r="P1" s="193" t="s">
        <v>116</v>
      </c>
      <c r="Q1" s="193" t="s">
        <v>143</v>
      </c>
      <c r="R1" s="193" t="s">
        <v>130</v>
      </c>
      <c r="S1" s="193" t="s">
        <v>117</v>
      </c>
      <c r="T1" s="193" t="s">
        <v>144</v>
      </c>
      <c r="U1" s="193" t="s">
        <v>131</v>
      </c>
      <c r="V1" s="193" t="s">
        <v>118</v>
      </c>
      <c r="W1" s="193"/>
      <c r="X1" s="193"/>
      <c r="Y1" s="193"/>
      <c r="Z1" s="193"/>
      <c r="AA1" s="193"/>
      <c r="AB1" s="193"/>
      <c r="AC1" s="193"/>
      <c r="AD1" s="193"/>
      <c r="AE1" s="193"/>
      <c r="AF1" s="193"/>
      <c r="AG1" s="193"/>
      <c r="AH1" s="193"/>
      <c r="AI1" s="193"/>
      <c r="AJ1" s="193"/>
      <c r="AK1" s="193"/>
      <c r="AL1" s="55"/>
      <c r="AM1" s="55"/>
      <c r="AN1" s="55"/>
      <c r="AO1" s="55"/>
      <c r="AP1" s="55"/>
      <c r="AQ1" s="55"/>
      <c r="AR1" s="55"/>
      <c r="AS1" s="55"/>
      <c r="AT1" s="55"/>
      <c r="AU1" s="55"/>
      <c r="AV1" s="55"/>
      <c r="AW1" s="55"/>
      <c r="AX1" s="55"/>
      <c r="AY1" s="55"/>
      <c r="AZ1" s="55"/>
      <c r="BA1" s="55"/>
      <c r="BB1" s="55"/>
      <c r="BC1" s="55"/>
      <c r="BD1" s="55"/>
      <c r="BE1" s="55"/>
      <c r="BF1" s="55"/>
      <c r="BG1" s="55"/>
      <c r="BH1" s="55"/>
      <c r="BI1" s="55"/>
    </row>
    <row r="2" spans="1:61" x14ac:dyDescent="0.3">
      <c r="A2" s="193" t="s">
        <v>685</v>
      </c>
      <c r="B2" s="194">
        <v>0.68500000000000005</v>
      </c>
      <c r="C2" s="194">
        <v>0.70199999999999996</v>
      </c>
      <c r="D2" s="194">
        <v>2237</v>
      </c>
      <c r="E2" s="194">
        <v>0.65100000000000002</v>
      </c>
      <c r="F2" s="194">
        <v>0.66700000000000004</v>
      </c>
      <c r="G2" s="194">
        <v>2199</v>
      </c>
      <c r="H2" s="194">
        <v>0.63900000000000001</v>
      </c>
      <c r="I2" s="194">
        <v>0.58499999999999996</v>
      </c>
      <c r="J2" s="194">
        <v>2269</v>
      </c>
      <c r="K2" s="194">
        <v>0.64200000000000002</v>
      </c>
      <c r="L2" s="194">
        <v>0.66900000000000004</v>
      </c>
      <c r="M2" s="194">
        <v>2122</v>
      </c>
      <c r="N2" s="194">
        <v>0.67600000000000005</v>
      </c>
      <c r="O2" s="194">
        <v>0.67600000000000005</v>
      </c>
      <c r="P2" s="194">
        <v>2097</v>
      </c>
      <c r="Q2" s="194">
        <v>0.67900000000000005</v>
      </c>
      <c r="R2" s="194">
        <v>0.68300000000000005</v>
      </c>
      <c r="S2" s="194">
        <v>2239</v>
      </c>
      <c r="T2" s="194">
        <v>0.68</v>
      </c>
      <c r="U2" s="194">
        <v>0.67800000000000005</v>
      </c>
      <c r="V2" s="194">
        <v>2172</v>
      </c>
      <c r="W2" s="194"/>
      <c r="X2" s="194"/>
      <c r="Y2" s="194"/>
      <c r="Z2" s="194"/>
      <c r="AA2" s="194"/>
      <c r="AB2" s="194"/>
      <c r="AC2" s="194"/>
      <c r="AD2" s="194"/>
      <c r="AE2" s="194"/>
      <c r="AF2" s="194"/>
      <c r="AG2" s="194"/>
      <c r="AH2" s="194"/>
      <c r="AI2" s="194"/>
      <c r="AJ2" s="194"/>
      <c r="AK2" s="194"/>
      <c r="AL2" s="55"/>
      <c r="AM2" s="55"/>
      <c r="AN2" s="55"/>
      <c r="AO2" s="55"/>
      <c r="AP2" s="55"/>
      <c r="AQ2" s="55"/>
      <c r="AR2" s="55"/>
      <c r="AS2" s="55"/>
      <c r="AT2" s="55"/>
      <c r="AU2" s="55"/>
      <c r="AV2" s="55"/>
      <c r="AW2" s="55"/>
      <c r="AX2" s="55"/>
      <c r="AY2" s="55"/>
      <c r="AZ2" s="55"/>
      <c r="BA2" s="55"/>
      <c r="BB2" s="55"/>
      <c r="BC2" s="55"/>
      <c r="BD2" s="55"/>
      <c r="BE2" s="55"/>
      <c r="BF2" s="55"/>
      <c r="BG2" s="55"/>
      <c r="BH2" s="55"/>
      <c r="BI2" s="55"/>
    </row>
    <row r="3" spans="1:61" x14ac:dyDescent="0.3">
      <c r="A3" s="193" t="s">
        <v>402</v>
      </c>
      <c r="B3" s="194">
        <v>0.86499999999999999</v>
      </c>
      <c r="C3" s="194">
        <v>0.89400000000000002</v>
      </c>
      <c r="D3" s="194">
        <v>47</v>
      </c>
      <c r="E3" s="194">
        <v>0.82799999999999996</v>
      </c>
      <c r="F3" s="194">
        <v>0.83299999999999996</v>
      </c>
      <c r="G3" s="194">
        <v>42</v>
      </c>
      <c r="H3" s="194">
        <v>0.75</v>
      </c>
      <c r="I3" s="194">
        <v>0.74399999999999999</v>
      </c>
      <c r="J3" s="194">
        <v>39</v>
      </c>
      <c r="K3" s="194">
        <v>0.72199999999999998</v>
      </c>
      <c r="L3" s="194">
        <v>0.64500000000000002</v>
      </c>
      <c r="M3" s="194">
        <v>31</v>
      </c>
      <c r="N3" s="194">
        <v>0.66900000000000004</v>
      </c>
      <c r="O3" s="194">
        <v>0.75</v>
      </c>
      <c r="P3" s="194">
        <v>56</v>
      </c>
      <c r="Q3" s="194">
        <v>0.61199999999999999</v>
      </c>
      <c r="R3" s="194">
        <v>0.55900000000000005</v>
      </c>
      <c r="S3" s="194">
        <v>34</v>
      </c>
      <c r="T3" s="194">
        <v>0.44700000000000001</v>
      </c>
      <c r="U3" s="194">
        <v>0.154</v>
      </c>
      <c r="V3" s="194">
        <v>13</v>
      </c>
      <c r="W3" s="194"/>
      <c r="X3" s="194"/>
      <c r="Y3" s="194"/>
      <c r="Z3" s="194"/>
      <c r="AA3" s="194"/>
      <c r="AB3" s="194"/>
      <c r="AC3" s="194"/>
      <c r="AD3" s="194"/>
      <c r="AE3" s="194"/>
      <c r="AF3" s="194"/>
      <c r="AG3" s="194"/>
      <c r="AH3" s="194"/>
      <c r="AI3" s="194"/>
      <c r="AJ3" s="194"/>
      <c r="AK3" s="194"/>
      <c r="AL3" s="55"/>
      <c r="AM3" s="55"/>
      <c r="AN3" s="55"/>
      <c r="AO3" s="55"/>
      <c r="AP3" s="55"/>
      <c r="AQ3" s="55"/>
      <c r="AR3" s="55"/>
      <c r="AS3" s="55"/>
      <c r="AT3" s="55"/>
      <c r="AU3" s="55"/>
      <c r="AV3" s="55"/>
      <c r="AW3" s="55"/>
      <c r="AX3" s="55"/>
      <c r="AY3" s="55"/>
      <c r="AZ3" s="55"/>
      <c r="BA3" s="55"/>
      <c r="BB3" s="55"/>
      <c r="BC3" s="55"/>
      <c r="BD3" s="55"/>
      <c r="BE3" s="55"/>
      <c r="BF3" s="55"/>
      <c r="BG3" s="55"/>
      <c r="BH3" s="55"/>
      <c r="BI3" s="55"/>
    </row>
    <row r="4" spans="1:61" x14ac:dyDescent="0.3">
      <c r="A4" s="193" t="s">
        <v>472</v>
      </c>
      <c r="B4" s="194">
        <v>0.65900000000000003</v>
      </c>
      <c r="C4" s="194">
        <v>0.72299999999999998</v>
      </c>
      <c r="D4" s="194">
        <v>47</v>
      </c>
      <c r="E4" s="194">
        <v>0.63800000000000001</v>
      </c>
      <c r="F4" s="194">
        <v>0.58499999999999996</v>
      </c>
      <c r="G4" s="194">
        <v>41</v>
      </c>
      <c r="H4" s="194">
        <v>0.61099999999999999</v>
      </c>
      <c r="I4" s="194">
        <v>0.59</v>
      </c>
      <c r="J4" s="194">
        <v>39</v>
      </c>
      <c r="K4" s="194">
        <v>0.626</v>
      </c>
      <c r="L4" s="194">
        <v>0.66700000000000004</v>
      </c>
      <c r="M4" s="194">
        <v>33</v>
      </c>
      <c r="N4" s="194">
        <v>0.65400000000000003</v>
      </c>
      <c r="O4" s="194">
        <v>0.629</v>
      </c>
      <c r="P4" s="194">
        <v>35</v>
      </c>
      <c r="Q4" s="194">
        <v>0.57899999999999996</v>
      </c>
      <c r="R4" s="194">
        <v>0.66700000000000004</v>
      </c>
      <c r="S4" s="194">
        <v>36</v>
      </c>
      <c r="T4" s="194">
        <v>0.55600000000000005</v>
      </c>
      <c r="U4" s="194">
        <v>0.44400000000000001</v>
      </c>
      <c r="V4" s="194">
        <v>36</v>
      </c>
      <c r="W4" s="194"/>
      <c r="X4" s="194"/>
      <c r="Y4" s="194"/>
      <c r="Z4" s="194"/>
      <c r="AA4" s="194"/>
      <c r="AB4" s="194"/>
      <c r="AC4" s="194"/>
      <c r="AD4" s="194"/>
      <c r="AE4" s="194"/>
      <c r="AF4" s="194"/>
      <c r="AG4" s="194"/>
      <c r="AH4" s="194"/>
      <c r="AI4" s="194"/>
      <c r="AJ4" s="194"/>
      <c r="AK4" s="194"/>
      <c r="AL4" s="55"/>
      <c r="AM4" s="55"/>
      <c r="AN4" s="55"/>
      <c r="AO4" s="55"/>
      <c r="AP4" s="55"/>
      <c r="AQ4" s="55"/>
      <c r="AR4" s="55"/>
      <c r="AS4" s="55"/>
      <c r="AT4" s="55"/>
      <c r="AU4" s="55"/>
      <c r="AV4" s="55"/>
      <c r="AW4" s="55"/>
      <c r="AX4" s="55"/>
      <c r="AY4" s="55"/>
      <c r="AZ4" s="55"/>
      <c r="BA4" s="55"/>
      <c r="BB4" s="55"/>
      <c r="BC4" s="55"/>
      <c r="BD4" s="55"/>
      <c r="BE4" s="55"/>
      <c r="BF4" s="55"/>
      <c r="BG4" s="55"/>
      <c r="BH4" s="55"/>
      <c r="BI4" s="55"/>
    </row>
    <row r="5" spans="1:61" x14ac:dyDescent="0.3">
      <c r="A5" s="193" t="s">
        <v>524</v>
      </c>
      <c r="B5" s="194">
        <v>0.91500000000000004</v>
      </c>
      <c r="C5" s="194">
        <v>0.97099999999999997</v>
      </c>
      <c r="D5" s="194">
        <v>34</v>
      </c>
      <c r="E5" s="194">
        <v>0.89</v>
      </c>
      <c r="F5" s="194">
        <v>0.84</v>
      </c>
      <c r="G5" s="194">
        <v>25</v>
      </c>
      <c r="H5" s="194">
        <v>0.84599999999999997</v>
      </c>
      <c r="I5" s="194">
        <v>0.82599999999999996</v>
      </c>
      <c r="J5" s="194">
        <v>23</v>
      </c>
      <c r="K5" s="194">
        <v>0.78700000000000003</v>
      </c>
      <c r="L5" s="194">
        <v>0.86699999999999999</v>
      </c>
      <c r="M5" s="194">
        <v>30</v>
      </c>
      <c r="N5" s="194">
        <v>0.79200000000000004</v>
      </c>
      <c r="O5" s="194">
        <v>0.63600000000000001</v>
      </c>
      <c r="P5" s="194">
        <v>22</v>
      </c>
      <c r="Q5" s="194">
        <v>0.76500000000000001</v>
      </c>
      <c r="R5" s="194">
        <v>0.85</v>
      </c>
      <c r="S5" s="194">
        <v>20</v>
      </c>
      <c r="T5" s="194">
        <v>0.82599999999999996</v>
      </c>
      <c r="U5" s="194">
        <v>0.80800000000000005</v>
      </c>
      <c r="V5" s="194">
        <v>26</v>
      </c>
      <c r="W5" s="194"/>
      <c r="X5" s="194"/>
      <c r="Y5" s="194"/>
      <c r="Z5" s="194"/>
      <c r="AA5" s="194"/>
      <c r="AB5" s="194"/>
      <c r="AC5" s="194"/>
      <c r="AD5" s="194"/>
      <c r="AE5" s="194"/>
      <c r="AF5" s="194"/>
      <c r="AG5" s="194"/>
      <c r="AH5" s="194"/>
      <c r="AI5" s="194"/>
      <c r="AJ5" s="194"/>
      <c r="AK5" s="194"/>
      <c r="AL5" s="55"/>
      <c r="AM5" s="55"/>
      <c r="AN5" s="55"/>
      <c r="AO5" s="55"/>
      <c r="AP5" s="55"/>
      <c r="AQ5" s="55"/>
      <c r="AR5" s="55"/>
      <c r="AS5" s="55"/>
      <c r="AT5" s="55"/>
      <c r="AU5" s="55"/>
      <c r="AV5" s="55"/>
      <c r="AW5" s="55"/>
      <c r="AX5" s="55"/>
      <c r="AY5" s="55"/>
      <c r="AZ5" s="55"/>
      <c r="BA5" s="55"/>
      <c r="BB5" s="55"/>
      <c r="BC5" s="55"/>
      <c r="BD5" s="55"/>
      <c r="BE5" s="55"/>
      <c r="BF5" s="55"/>
      <c r="BG5" s="55"/>
      <c r="BH5" s="55"/>
      <c r="BI5" s="55"/>
    </row>
    <row r="6" spans="1:61" x14ac:dyDescent="0.3">
      <c r="A6" s="193" t="s">
        <v>378</v>
      </c>
      <c r="B6" s="194">
        <v>0.88200000000000001</v>
      </c>
      <c r="C6" s="194">
        <v>1</v>
      </c>
      <c r="D6" s="194">
        <v>5</v>
      </c>
      <c r="E6" s="194">
        <v>0.69199999999999995</v>
      </c>
      <c r="F6" s="194">
        <v>0.83299999999999996</v>
      </c>
      <c r="G6" s="194">
        <v>12</v>
      </c>
      <c r="H6" s="194">
        <v>0.55600000000000005</v>
      </c>
      <c r="I6" s="194">
        <v>0.33300000000000002</v>
      </c>
      <c r="J6" s="194">
        <v>9</v>
      </c>
      <c r="K6" s="194">
        <v>0.45</v>
      </c>
      <c r="L6" s="194">
        <v>0.33300000000000002</v>
      </c>
      <c r="M6" s="194">
        <v>6</v>
      </c>
      <c r="N6" s="194">
        <v>0.64300000000000002</v>
      </c>
      <c r="O6" s="194">
        <v>0.8</v>
      </c>
      <c r="P6" s="194">
        <v>5</v>
      </c>
      <c r="Q6" s="194">
        <v>0.52900000000000003</v>
      </c>
      <c r="R6" s="194">
        <v>1</v>
      </c>
      <c r="S6" s="194">
        <v>3</v>
      </c>
      <c r="T6" s="194">
        <v>0.41699999999999998</v>
      </c>
      <c r="U6" s="194">
        <v>0.222</v>
      </c>
      <c r="V6" s="194">
        <v>9</v>
      </c>
      <c r="W6" s="194"/>
      <c r="X6" s="194"/>
      <c r="Y6" s="194"/>
      <c r="Z6" s="194"/>
      <c r="AA6" s="194"/>
      <c r="AB6" s="194"/>
      <c r="AC6" s="194"/>
      <c r="AD6" s="194"/>
      <c r="AE6" s="194"/>
      <c r="AF6" s="194"/>
      <c r="AG6" s="194"/>
      <c r="AH6" s="194"/>
      <c r="AI6" s="194"/>
      <c r="AJ6" s="194"/>
      <c r="AK6" s="194"/>
      <c r="AL6" s="55"/>
      <c r="AM6" s="55"/>
      <c r="AN6" s="55"/>
      <c r="AO6" s="55"/>
      <c r="AP6" s="55"/>
      <c r="AQ6" s="55"/>
      <c r="AR6" s="55"/>
      <c r="AS6" s="55"/>
      <c r="AT6" s="55"/>
      <c r="AU6" s="55"/>
      <c r="AV6" s="55"/>
      <c r="AW6" s="55"/>
      <c r="AX6" s="55"/>
      <c r="AY6" s="55"/>
      <c r="AZ6" s="55"/>
      <c r="BA6" s="55"/>
      <c r="BB6" s="55"/>
      <c r="BC6" s="55"/>
      <c r="BD6" s="55"/>
      <c r="BE6" s="55"/>
      <c r="BF6" s="55"/>
      <c r="BG6" s="55"/>
      <c r="BH6" s="55"/>
      <c r="BI6" s="55"/>
    </row>
    <row r="7" spans="1:61" x14ac:dyDescent="0.3">
      <c r="A7" s="193" t="s">
        <v>281</v>
      </c>
      <c r="B7" s="194">
        <v>0.52400000000000002</v>
      </c>
      <c r="C7" s="194">
        <v>0.54500000000000004</v>
      </c>
      <c r="D7" s="194">
        <v>11</v>
      </c>
      <c r="E7" s="194">
        <v>0.56499999999999995</v>
      </c>
      <c r="F7" s="194">
        <v>0.5</v>
      </c>
      <c r="G7" s="194">
        <v>10</v>
      </c>
      <c r="H7" s="194">
        <v>0.51700000000000002</v>
      </c>
      <c r="I7" s="194">
        <v>0.6</v>
      </c>
      <c r="J7" s="194">
        <v>25</v>
      </c>
      <c r="K7" s="194">
        <v>0.48099999999999998</v>
      </c>
      <c r="L7" s="194">
        <v>0.435</v>
      </c>
      <c r="M7" s="194">
        <v>23</v>
      </c>
      <c r="N7" s="194">
        <v>0.316</v>
      </c>
      <c r="O7" s="194">
        <v>0.16700000000000001</v>
      </c>
      <c r="P7" s="194">
        <v>6</v>
      </c>
      <c r="Q7" s="194">
        <v>0.14299999999999999</v>
      </c>
      <c r="R7" s="194">
        <v>0.111</v>
      </c>
      <c r="S7" s="194">
        <v>9</v>
      </c>
      <c r="T7" s="194">
        <v>0.13800000000000001</v>
      </c>
      <c r="U7" s="194">
        <v>0.15</v>
      </c>
      <c r="V7" s="194">
        <v>20</v>
      </c>
      <c r="W7" s="194"/>
      <c r="X7" s="194"/>
      <c r="Y7" s="194"/>
      <c r="Z7" s="194"/>
      <c r="AA7" s="194"/>
      <c r="AB7" s="194"/>
      <c r="AC7" s="194"/>
      <c r="AD7" s="194"/>
      <c r="AE7" s="194"/>
      <c r="AF7" s="194"/>
      <c r="AG7" s="194"/>
      <c r="AH7" s="194"/>
      <c r="AI7" s="194"/>
      <c r="AJ7" s="194"/>
      <c r="AK7" s="194"/>
      <c r="AL7" s="55"/>
      <c r="AM7" s="55"/>
      <c r="AN7" s="55"/>
      <c r="AO7" s="55"/>
      <c r="AP7" s="55"/>
      <c r="AQ7" s="55"/>
      <c r="AR7" s="55"/>
      <c r="AS7" s="55"/>
      <c r="AT7" s="55"/>
      <c r="AU7" s="55"/>
      <c r="AV7" s="55"/>
      <c r="AW7" s="55"/>
      <c r="AX7" s="55"/>
      <c r="AY7" s="55"/>
      <c r="AZ7" s="55"/>
      <c r="BA7" s="55"/>
      <c r="BB7" s="55"/>
      <c r="BC7" s="55"/>
      <c r="BD7" s="55"/>
      <c r="BE7" s="55"/>
      <c r="BF7" s="55"/>
      <c r="BG7" s="55"/>
      <c r="BH7" s="55"/>
      <c r="BI7" s="55"/>
    </row>
    <row r="8" spans="1:61" x14ac:dyDescent="0.3">
      <c r="A8" s="193" t="s">
        <v>398</v>
      </c>
      <c r="B8" s="194">
        <v>0.74199999999999999</v>
      </c>
      <c r="C8" s="194">
        <v>0.72199999999999998</v>
      </c>
      <c r="D8" s="194">
        <v>18</v>
      </c>
      <c r="E8" s="194">
        <v>0.755</v>
      </c>
      <c r="F8" s="194">
        <v>0.76900000000000002</v>
      </c>
      <c r="G8" s="194">
        <v>13</v>
      </c>
      <c r="H8" s="194">
        <v>0.76300000000000001</v>
      </c>
      <c r="I8" s="194">
        <v>0.77800000000000002</v>
      </c>
      <c r="J8" s="194">
        <v>18</v>
      </c>
      <c r="K8" s="194">
        <v>0.8</v>
      </c>
      <c r="L8" s="194">
        <v>0.71399999999999997</v>
      </c>
      <c r="M8" s="194">
        <v>7</v>
      </c>
      <c r="N8" s="194">
        <v>0.69199999999999995</v>
      </c>
      <c r="O8" s="194">
        <v>0.9</v>
      </c>
      <c r="P8" s="194">
        <v>10</v>
      </c>
      <c r="Q8" s="194">
        <v>0.64700000000000002</v>
      </c>
      <c r="R8" s="194">
        <v>0.44400000000000001</v>
      </c>
      <c r="S8" s="194">
        <v>9</v>
      </c>
      <c r="T8" s="194">
        <v>0.54200000000000004</v>
      </c>
      <c r="U8" s="194">
        <v>0.6</v>
      </c>
      <c r="V8" s="194">
        <v>15</v>
      </c>
      <c r="W8" s="194"/>
      <c r="X8" s="194"/>
      <c r="Y8" s="194"/>
      <c r="Z8" s="194"/>
      <c r="AA8" s="194"/>
      <c r="AB8" s="194"/>
      <c r="AC8" s="194"/>
      <c r="AD8" s="194"/>
      <c r="AE8" s="194"/>
      <c r="AF8" s="194"/>
      <c r="AG8" s="194"/>
      <c r="AH8" s="194"/>
      <c r="AI8" s="194"/>
      <c r="AJ8" s="194"/>
      <c r="AK8" s="194"/>
      <c r="AL8" s="55"/>
      <c r="AM8" s="55"/>
      <c r="AN8" s="55"/>
      <c r="AO8" s="55"/>
      <c r="AP8" s="55"/>
      <c r="AQ8" s="55"/>
      <c r="AR8" s="55"/>
      <c r="AS8" s="55"/>
      <c r="AT8" s="55"/>
      <c r="AU8" s="55"/>
      <c r="AV8" s="55"/>
      <c r="AW8" s="55"/>
      <c r="AX8" s="55"/>
      <c r="AY8" s="55"/>
      <c r="AZ8" s="55"/>
      <c r="BA8" s="55"/>
      <c r="BB8" s="55"/>
      <c r="BC8" s="55"/>
      <c r="BD8" s="55"/>
      <c r="BE8" s="55"/>
      <c r="BF8" s="55"/>
      <c r="BG8" s="55"/>
      <c r="BH8" s="55"/>
      <c r="BI8" s="55"/>
    </row>
    <row r="9" spans="1:61" x14ac:dyDescent="0.3">
      <c r="A9" s="193" t="s">
        <v>452</v>
      </c>
      <c r="B9" s="194">
        <v>0.63300000000000001</v>
      </c>
      <c r="C9" s="194">
        <v>0.52900000000000003</v>
      </c>
      <c r="D9" s="194">
        <v>17</v>
      </c>
      <c r="E9" s="194">
        <v>0.61899999999999999</v>
      </c>
      <c r="F9" s="194">
        <v>0.76900000000000002</v>
      </c>
      <c r="G9" s="194">
        <v>13</v>
      </c>
      <c r="H9" s="194">
        <v>0.57099999999999995</v>
      </c>
      <c r="I9" s="194">
        <v>0.58299999999999996</v>
      </c>
      <c r="J9" s="194">
        <v>12</v>
      </c>
      <c r="K9" s="194">
        <v>0.48699999999999999</v>
      </c>
      <c r="L9" s="194">
        <v>0.41199999999999998</v>
      </c>
      <c r="M9" s="194">
        <v>17</v>
      </c>
      <c r="N9" s="194">
        <v>0.67300000000000004</v>
      </c>
      <c r="O9" s="194">
        <v>0.5</v>
      </c>
      <c r="P9" s="194">
        <v>10</v>
      </c>
      <c r="Q9" s="194">
        <v>0.79200000000000004</v>
      </c>
      <c r="R9" s="194">
        <v>0.95499999999999996</v>
      </c>
      <c r="S9" s="194">
        <v>22</v>
      </c>
      <c r="T9" s="194">
        <v>0.86799999999999999</v>
      </c>
      <c r="U9" s="194">
        <v>0.75</v>
      </c>
      <c r="V9" s="194">
        <v>16</v>
      </c>
      <c r="W9" s="194"/>
      <c r="X9" s="194"/>
      <c r="Y9" s="194"/>
      <c r="Z9" s="194"/>
      <c r="AA9" s="194"/>
      <c r="AB9" s="194"/>
      <c r="AC9" s="194"/>
      <c r="AD9" s="194"/>
      <c r="AE9" s="194"/>
      <c r="AF9" s="194"/>
      <c r="AG9" s="194"/>
      <c r="AH9" s="194"/>
      <c r="AI9" s="194"/>
      <c r="AJ9" s="194"/>
      <c r="AK9" s="194"/>
      <c r="AL9" s="55"/>
      <c r="AM9" s="55"/>
      <c r="AN9" s="55"/>
      <c r="AO9" s="55"/>
      <c r="AP9" s="55"/>
      <c r="AQ9" s="55"/>
      <c r="AR9" s="55"/>
      <c r="AS9" s="55"/>
      <c r="AT9" s="55"/>
      <c r="AU9" s="55"/>
      <c r="AV9" s="55"/>
      <c r="AW9" s="55"/>
      <c r="AX9" s="55"/>
      <c r="AY9" s="55"/>
      <c r="AZ9" s="55"/>
      <c r="BA9" s="55"/>
      <c r="BB9" s="55"/>
      <c r="BC9" s="55"/>
      <c r="BD9" s="55"/>
      <c r="BE9" s="55"/>
      <c r="BF9" s="55"/>
      <c r="BG9" s="55"/>
      <c r="BH9" s="55"/>
      <c r="BI9" s="55"/>
    </row>
    <row r="10" spans="1:61" x14ac:dyDescent="0.3">
      <c r="A10" s="193" t="s">
        <v>520</v>
      </c>
      <c r="B10" s="194">
        <v>0.77800000000000002</v>
      </c>
      <c r="C10" s="194">
        <v>0.5</v>
      </c>
      <c r="D10" s="194">
        <v>2</v>
      </c>
      <c r="E10" s="194">
        <v>0.57099999999999995</v>
      </c>
      <c r="F10" s="194">
        <v>0.85699999999999998</v>
      </c>
      <c r="G10" s="194">
        <v>7</v>
      </c>
      <c r="H10" s="194">
        <v>0.53800000000000003</v>
      </c>
      <c r="I10" s="194">
        <v>0.2</v>
      </c>
      <c r="J10" s="194">
        <v>5</v>
      </c>
      <c r="K10" s="194">
        <v>0.2</v>
      </c>
      <c r="L10" s="194">
        <v>0</v>
      </c>
      <c r="M10" s="194">
        <v>1</v>
      </c>
      <c r="N10" s="194">
        <v>0.33300000000000002</v>
      </c>
      <c r="O10" s="194">
        <v>0.25</v>
      </c>
      <c r="P10" s="194">
        <v>4</v>
      </c>
      <c r="Q10" s="194">
        <v>0.25</v>
      </c>
      <c r="R10" s="194">
        <v>1</v>
      </c>
      <c r="S10" s="194">
        <v>1</v>
      </c>
      <c r="T10" s="194">
        <v>0.25</v>
      </c>
      <c r="U10" s="194">
        <v>0</v>
      </c>
      <c r="V10" s="194">
        <v>3</v>
      </c>
      <c r="W10" s="194"/>
      <c r="X10" s="194"/>
      <c r="Y10" s="194"/>
      <c r="Z10" s="194"/>
      <c r="AA10" s="194"/>
      <c r="AB10" s="194"/>
      <c r="AC10" s="194"/>
      <c r="AD10" s="194"/>
      <c r="AE10" s="194"/>
      <c r="AF10" s="194"/>
      <c r="AG10" s="194"/>
      <c r="AH10" s="194"/>
      <c r="AI10" s="194"/>
      <c r="AJ10" s="194"/>
      <c r="AK10" s="194"/>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row>
    <row r="11" spans="1:61" x14ac:dyDescent="0.3">
      <c r="A11" s="193" t="s">
        <v>510</v>
      </c>
      <c r="B11" s="194">
        <v>0.88900000000000001</v>
      </c>
      <c r="C11" s="194">
        <v>0.91700000000000004</v>
      </c>
      <c r="D11" s="194">
        <v>12</v>
      </c>
      <c r="E11" s="194">
        <v>0.89500000000000002</v>
      </c>
      <c r="F11" s="194">
        <v>0.86699999999999999</v>
      </c>
      <c r="G11" s="194">
        <v>15</v>
      </c>
      <c r="H11" s="194">
        <v>0.80600000000000005</v>
      </c>
      <c r="I11" s="194">
        <v>0.90900000000000003</v>
      </c>
      <c r="J11" s="194">
        <v>11</v>
      </c>
      <c r="K11" s="194">
        <v>0.72199999999999998</v>
      </c>
      <c r="L11" s="194">
        <v>0.6</v>
      </c>
      <c r="M11" s="194">
        <v>10</v>
      </c>
      <c r="N11" s="194">
        <v>0.68799999999999994</v>
      </c>
      <c r="O11" s="194">
        <v>0.66700000000000004</v>
      </c>
      <c r="P11" s="194">
        <v>15</v>
      </c>
      <c r="Q11" s="194">
        <v>0.70599999999999996</v>
      </c>
      <c r="R11" s="194">
        <v>0.85699999999999998</v>
      </c>
      <c r="S11" s="194">
        <v>7</v>
      </c>
      <c r="T11" s="194">
        <v>0.73699999999999999</v>
      </c>
      <c r="U11" s="194">
        <v>0.66700000000000004</v>
      </c>
      <c r="V11" s="194">
        <v>12</v>
      </c>
      <c r="W11" s="194"/>
      <c r="X11" s="194"/>
      <c r="Y11" s="194"/>
      <c r="Z11" s="194"/>
      <c r="AA11" s="194"/>
      <c r="AB11" s="194"/>
      <c r="AC11" s="194"/>
      <c r="AD11" s="194"/>
      <c r="AE11" s="194"/>
      <c r="AF11" s="194"/>
      <c r="AG11" s="194"/>
      <c r="AH11" s="194"/>
      <c r="AI11" s="194"/>
      <c r="AJ11" s="194"/>
      <c r="AK11" s="194"/>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row>
    <row r="12" spans="1:61" x14ac:dyDescent="0.3">
      <c r="A12" s="193" t="s">
        <v>296</v>
      </c>
      <c r="B12" s="194">
        <v>0.69199999999999995</v>
      </c>
      <c r="C12" s="194">
        <v>0.81799999999999995</v>
      </c>
      <c r="D12" s="194">
        <v>11</v>
      </c>
      <c r="E12" s="194">
        <v>0.7</v>
      </c>
      <c r="F12" s="194">
        <v>0.6</v>
      </c>
      <c r="G12" s="194">
        <v>15</v>
      </c>
      <c r="H12" s="194">
        <v>0.71799999999999997</v>
      </c>
      <c r="I12" s="194">
        <v>0.71399999999999997</v>
      </c>
      <c r="J12" s="194">
        <v>14</v>
      </c>
      <c r="K12" s="194">
        <v>0.75</v>
      </c>
      <c r="L12" s="194">
        <v>0.9</v>
      </c>
      <c r="M12" s="194">
        <v>10</v>
      </c>
      <c r="N12" s="194">
        <v>0.78</v>
      </c>
      <c r="O12" s="194">
        <v>0.66700000000000004</v>
      </c>
      <c r="P12" s="194">
        <v>12</v>
      </c>
      <c r="Q12" s="194">
        <v>0.77500000000000002</v>
      </c>
      <c r="R12" s="194">
        <v>0.78900000000000003</v>
      </c>
      <c r="S12" s="194">
        <v>19</v>
      </c>
      <c r="T12" s="194">
        <v>0.82099999999999995</v>
      </c>
      <c r="U12" s="194">
        <v>0.88900000000000001</v>
      </c>
      <c r="V12" s="194">
        <v>9</v>
      </c>
      <c r="W12" s="194"/>
      <c r="X12" s="194"/>
      <c r="Y12" s="194"/>
      <c r="Z12" s="194"/>
      <c r="AA12" s="194"/>
      <c r="AB12" s="194"/>
      <c r="AC12" s="194"/>
      <c r="AD12" s="194"/>
      <c r="AE12" s="194"/>
      <c r="AF12" s="194"/>
      <c r="AG12" s="194"/>
      <c r="AH12" s="194"/>
      <c r="AI12" s="194"/>
      <c r="AJ12" s="194"/>
      <c r="AK12" s="194"/>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row>
    <row r="13" spans="1:61" x14ac:dyDescent="0.3">
      <c r="A13" s="193" t="s">
        <v>406</v>
      </c>
      <c r="B13" s="194">
        <v>0.69499999999999995</v>
      </c>
      <c r="C13" s="194">
        <v>0.66</v>
      </c>
      <c r="D13" s="194">
        <v>47</v>
      </c>
      <c r="E13" s="194">
        <v>0.63100000000000001</v>
      </c>
      <c r="F13" s="194">
        <v>0.72899999999999998</v>
      </c>
      <c r="G13" s="194">
        <v>48</v>
      </c>
      <c r="H13" s="194">
        <v>0.64800000000000002</v>
      </c>
      <c r="I13" s="194">
        <v>0.51900000000000002</v>
      </c>
      <c r="J13" s="194">
        <v>54</v>
      </c>
      <c r="K13" s="194">
        <v>0.58199999999999996</v>
      </c>
      <c r="L13" s="194">
        <v>0.70199999999999996</v>
      </c>
      <c r="M13" s="194">
        <v>57</v>
      </c>
      <c r="N13" s="194">
        <v>0.66700000000000004</v>
      </c>
      <c r="O13" s="194">
        <v>0.48599999999999999</v>
      </c>
      <c r="P13" s="194">
        <v>35</v>
      </c>
      <c r="Q13" s="194">
        <v>0.67</v>
      </c>
      <c r="R13" s="194">
        <v>0.79400000000000004</v>
      </c>
      <c r="S13" s="194">
        <v>34</v>
      </c>
      <c r="T13" s="194">
        <v>0.78600000000000003</v>
      </c>
      <c r="U13" s="194">
        <v>0.77300000000000002</v>
      </c>
      <c r="V13" s="194">
        <v>22</v>
      </c>
      <c r="W13" s="194"/>
      <c r="X13" s="194"/>
      <c r="Y13" s="194"/>
      <c r="Z13" s="194"/>
      <c r="AA13" s="194"/>
      <c r="AB13" s="194"/>
      <c r="AC13" s="194"/>
      <c r="AD13" s="194"/>
      <c r="AE13" s="194"/>
      <c r="AF13" s="194"/>
      <c r="AG13" s="194"/>
      <c r="AH13" s="194"/>
      <c r="AI13" s="194"/>
      <c r="AJ13" s="194"/>
      <c r="AK13" s="194"/>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row>
    <row r="14" spans="1:61" x14ac:dyDescent="0.3">
      <c r="A14" s="193" t="s">
        <v>450</v>
      </c>
      <c r="B14" s="194">
        <v>0.22600000000000001</v>
      </c>
      <c r="C14" s="194">
        <v>0.222</v>
      </c>
      <c r="D14" s="194">
        <v>63</v>
      </c>
      <c r="E14" s="194">
        <v>0.20899999999999999</v>
      </c>
      <c r="F14" s="194">
        <v>0.23</v>
      </c>
      <c r="G14" s="194">
        <v>61</v>
      </c>
      <c r="H14" s="194">
        <v>0.19700000000000001</v>
      </c>
      <c r="I14" s="194">
        <v>0.17499999999999999</v>
      </c>
      <c r="J14" s="194">
        <v>63</v>
      </c>
      <c r="K14" s="194">
        <v>0.16500000000000001</v>
      </c>
      <c r="L14" s="194">
        <v>0.185</v>
      </c>
      <c r="M14" s="194">
        <v>54</v>
      </c>
      <c r="N14" s="194">
        <v>0.187</v>
      </c>
      <c r="O14" s="194">
        <v>0.13600000000000001</v>
      </c>
      <c r="P14" s="194">
        <v>59</v>
      </c>
      <c r="Q14" s="194">
        <v>0.14499999999999999</v>
      </c>
      <c r="R14" s="194">
        <v>0.245</v>
      </c>
      <c r="S14" s="194">
        <v>53</v>
      </c>
      <c r="T14" s="194">
        <v>0.151</v>
      </c>
      <c r="U14" s="194">
        <v>2.5000000000000001E-2</v>
      </c>
      <c r="V14" s="194">
        <v>40</v>
      </c>
      <c r="W14" s="194"/>
      <c r="X14" s="194"/>
      <c r="Y14" s="194"/>
      <c r="Z14" s="194"/>
      <c r="AA14" s="194"/>
      <c r="AB14" s="194"/>
      <c r="AC14" s="194"/>
      <c r="AD14" s="194"/>
      <c r="AE14" s="194"/>
      <c r="AF14" s="194"/>
      <c r="AG14" s="194"/>
      <c r="AH14" s="194"/>
      <c r="AI14" s="194"/>
      <c r="AJ14" s="194"/>
      <c r="AK14" s="194"/>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row>
    <row r="15" spans="1:61" x14ac:dyDescent="0.3">
      <c r="A15" s="193" t="s">
        <v>420</v>
      </c>
      <c r="B15" s="194">
        <v>0</v>
      </c>
      <c r="C15" s="194">
        <v>0</v>
      </c>
      <c r="D15" s="194">
        <v>3</v>
      </c>
      <c r="E15" s="194">
        <v>0.16700000000000001</v>
      </c>
      <c r="F15" s="194"/>
      <c r="G15" s="194"/>
      <c r="H15" s="194">
        <v>0.33300000000000002</v>
      </c>
      <c r="I15" s="194">
        <v>0.33300000000000002</v>
      </c>
      <c r="J15" s="194">
        <v>3</v>
      </c>
      <c r="K15" s="194">
        <v>0.28599999999999998</v>
      </c>
      <c r="L15" s="194">
        <v>0.33300000000000002</v>
      </c>
      <c r="M15" s="194">
        <v>3</v>
      </c>
      <c r="N15" s="194">
        <v>0.42899999999999999</v>
      </c>
      <c r="O15" s="194">
        <v>0</v>
      </c>
      <c r="P15" s="194">
        <v>1</v>
      </c>
      <c r="Q15" s="194">
        <v>0.33300000000000002</v>
      </c>
      <c r="R15" s="194">
        <v>0.66700000000000004</v>
      </c>
      <c r="S15" s="194">
        <v>3</v>
      </c>
      <c r="T15" s="194">
        <v>0.4</v>
      </c>
      <c r="U15" s="194">
        <v>0</v>
      </c>
      <c r="V15" s="194">
        <v>2</v>
      </c>
      <c r="W15" s="194"/>
      <c r="X15" s="194"/>
      <c r="Y15" s="194"/>
      <c r="Z15" s="194"/>
      <c r="AA15" s="194"/>
      <c r="AB15" s="194"/>
      <c r="AC15" s="194"/>
      <c r="AD15" s="194"/>
      <c r="AE15" s="194"/>
      <c r="AF15" s="194"/>
      <c r="AG15" s="194"/>
      <c r="AH15" s="194"/>
      <c r="AI15" s="194"/>
      <c r="AJ15" s="194"/>
      <c r="AK15" s="194"/>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row>
    <row r="16" spans="1:61" x14ac:dyDescent="0.3">
      <c r="A16" s="193" t="s">
        <v>494</v>
      </c>
      <c r="B16" s="194">
        <v>0.8</v>
      </c>
      <c r="C16" s="194">
        <v>0.66700000000000004</v>
      </c>
      <c r="D16" s="194">
        <v>6</v>
      </c>
      <c r="E16" s="194">
        <v>0.81299999999999994</v>
      </c>
      <c r="F16" s="194">
        <v>1</v>
      </c>
      <c r="G16" s="194">
        <v>4</v>
      </c>
      <c r="H16" s="194">
        <v>0.83299999999999996</v>
      </c>
      <c r="I16" s="194">
        <v>0.83299999999999996</v>
      </c>
      <c r="J16" s="194">
        <v>6</v>
      </c>
      <c r="K16" s="194">
        <v>0.875</v>
      </c>
      <c r="L16" s="194">
        <v>0.5</v>
      </c>
      <c r="M16" s="194">
        <v>2</v>
      </c>
      <c r="N16" s="194">
        <v>0.93799999999999994</v>
      </c>
      <c r="O16" s="194">
        <v>1</v>
      </c>
      <c r="P16" s="194">
        <v>8</v>
      </c>
      <c r="Q16" s="194">
        <v>0.89500000000000002</v>
      </c>
      <c r="R16" s="194">
        <v>1</v>
      </c>
      <c r="S16" s="194">
        <v>6</v>
      </c>
      <c r="T16" s="194">
        <v>0.81799999999999995</v>
      </c>
      <c r="U16" s="194">
        <v>0.6</v>
      </c>
      <c r="V16" s="194">
        <v>5</v>
      </c>
      <c r="W16" s="194"/>
      <c r="X16" s="194"/>
      <c r="Y16" s="194"/>
      <c r="Z16" s="194"/>
      <c r="AA16" s="194"/>
      <c r="AB16" s="194"/>
      <c r="AC16" s="194"/>
      <c r="AD16" s="194"/>
      <c r="AE16" s="194"/>
      <c r="AF16" s="194"/>
      <c r="AG16" s="194"/>
      <c r="AH16" s="194"/>
      <c r="AI16" s="194"/>
      <c r="AJ16" s="194"/>
      <c r="AK16" s="194"/>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row>
    <row r="17" spans="1:61" x14ac:dyDescent="0.3">
      <c r="A17" s="193" t="s">
        <v>386</v>
      </c>
      <c r="B17" s="194">
        <v>0.76500000000000001</v>
      </c>
      <c r="C17" s="194">
        <v>0.625</v>
      </c>
      <c r="D17" s="194">
        <v>8</v>
      </c>
      <c r="E17" s="194">
        <v>0.70799999999999996</v>
      </c>
      <c r="F17" s="194">
        <v>0.88900000000000001</v>
      </c>
      <c r="G17" s="194">
        <v>9</v>
      </c>
      <c r="H17" s="194">
        <v>0.65400000000000003</v>
      </c>
      <c r="I17" s="194">
        <v>0.57099999999999995</v>
      </c>
      <c r="J17" s="194">
        <v>7</v>
      </c>
      <c r="K17" s="194">
        <v>0.6</v>
      </c>
      <c r="L17" s="194">
        <v>0.5</v>
      </c>
      <c r="M17" s="194">
        <v>10</v>
      </c>
      <c r="N17" s="194">
        <v>0.54500000000000004</v>
      </c>
      <c r="O17" s="194">
        <v>0.69199999999999995</v>
      </c>
      <c r="P17" s="194">
        <v>13</v>
      </c>
      <c r="Q17" s="194">
        <v>0.64700000000000002</v>
      </c>
      <c r="R17" s="194">
        <v>0.4</v>
      </c>
      <c r="S17" s="194">
        <v>10</v>
      </c>
      <c r="T17" s="194">
        <v>0.61899999999999999</v>
      </c>
      <c r="U17" s="194">
        <v>0.81799999999999995</v>
      </c>
      <c r="V17" s="194">
        <v>11</v>
      </c>
      <c r="W17" s="194"/>
      <c r="X17" s="194"/>
      <c r="Y17" s="194"/>
      <c r="Z17" s="194"/>
      <c r="AA17" s="194"/>
      <c r="AB17" s="194"/>
      <c r="AC17" s="194"/>
      <c r="AD17" s="194"/>
      <c r="AE17" s="194"/>
      <c r="AF17" s="194"/>
      <c r="AG17" s="194"/>
      <c r="AH17" s="194"/>
      <c r="AI17" s="194"/>
      <c r="AJ17" s="194"/>
      <c r="AK17" s="194"/>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row>
    <row r="18" spans="1:61" x14ac:dyDescent="0.3">
      <c r="A18" s="193" t="s">
        <v>333</v>
      </c>
      <c r="B18" s="194">
        <v>0.85699999999999998</v>
      </c>
      <c r="C18" s="194">
        <v>1</v>
      </c>
      <c r="D18" s="194">
        <v>12</v>
      </c>
      <c r="E18" s="194">
        <v>0.83299999999999996</v>
      </c>
      <c r="F18" s="194">
        <v>0.66700000000000004</v>
      </c>
      <c r="G18" s="194">
        <v>9</v>
      </c>
      <c r="H18" s="194">
        <v>0.81499999999999995</v>
      </c>
      <c r="I18" s="194">
        <v>0.77800000000000002</v>
      </c>
      <c r="J18" s="194">
        <v>9</v>
      </c>
      <c r="K18" s="194">
        <v>0.89700000000000002</v>
      </c>
      <c r="L18" s="194">
        <v>1</v>
      </c>
      <c r="M18" s="194">
        <v>9</v>
      </c>
      <c r="N18" s="194">
        <v>0.83299999999999996</v>
      </c>
      <c r="O18" s="194">
        <v>0.90900000000000003</v>
      </c>
      <c r="P18" s="194">
        <v>11</v>
      </c>
      <c r="Q18" s="194">
        <v>0.76500000000000001</v>
      </c>
      <c r="R18" s="194">
        <v>0.6</v>
      </c>
      <c r="S18" s="194">
        <v>10</v>
      </c>
      <c r="T18" s="194">
        <v>0.69599999999999995</v>
      </c>
      <c r="U18" s="194">
        <v>0.76900000000000002</v>
      </c>
      <c r="V18" s="194">
        <v>13</v>
      </c>
      <c r="W18" s="194"/>
      <c r="X18" s="194"/>
      <c r="Y18" s="194"/>
      <c r="Z18" s="194"/>
      <c r="AA18" s="194"/>
      <c r="AB18" s="194"/>
      <c r="AC18" s="194"/>
      <c r="AD18" s="194"/>
      <c r="AE18" s="194"/>
      <c r="AF18" s="194"/>
      <c r="AG18" s="194"/>
      <c r="AH18" s="194"/>
      <c r="AI18" s="194"/>
      <c r="AJ18" s="194"/>
      <c r="AK18" s="194"/>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row>
    <row r="19" spans="1:61" x14ac:dyDescent="0.3">
      <c r="A19" s="193" t="s">
        <v>536</v>
      </c>
      <c r="B19" s="194">
        <v>0.5</v>
      </c>
      <c r="C19" s="194">
        <v>0.75</v>
      </c>
      <c r="D19" s="194">
        <v>4</v>
      </c>
      <c r="E19" s="194">
        <v>0.35</v>
      </c>
      <c r="F19" s="194">
        <v>0.375</v>
      </c>
      <c r="G19" s="194">
        <v>8</v>
      </c>
      <c r="H19" s="194">
        <v>0.33300000000000002</v>
      </c>
      <c r="I19" s="194">
        <v>0.125</v>
      </c>
      <c r="J19" s="194">
        <v>8</v>
      </c>
      <c r="K19" s="194">
        <v>0.3</v>
      </c>
      <c r="L19" s="194">
        <v>0.6</v>
      </c>
      <c r="M19" s="194">
        <v>5</v>
      </c>
      <c r="N19" s="194">
        <v>0.52600000000000002</v>
      </c>
      <c r="O19" s="194">
        <v>0.28599999999999998</v>
      </c>
      <c r="P19" s="194">
        <v>7</v>
      </c>
      <c r="Q19" s="194">
        <v>0.60899999999999999</v>
      </c>
      <c r="R19" s="194">
        <v>0.71399999999999997</v>
      </c>
      <c r="S19" s="194">
        <v>7</v>
      </c>
      <c r="T19" s="194">
        <v>0.75</v>
      </c>
      <c r="U19" s="194">
        <v>0.77800000000000002</v>
      </c>
      <c r="V19" s="194">
        <v>9</v>
      </c>
      <c r="W19" s="194"/>
      <c r="X19" s="194"/>
      <c r="Y19" s="194"/>
      <c r="Z19" s="194"/>
      <c r="AA19" s="194"/>
      <c r="AB19" s="194"/>
      <c r="AC19" s="194"/>
      <c r="AD19" s="194"/>
      <c r="AE19" s="194"/>
      <c r="AF19" s="194"/>
      <c r="AG19" s="194"/>
      <c r="AH19" s="194"/>
      <c r="AI19" s="194"/>
      <c r="AJ19" s="194"/>
      <c r="AK19" s="194"/>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row>
    <row r="20" spans="1:61" x14ac:dyDescent="0.3">
      <c r="A20" s="193" t="s">
        <v>544</v>
      </c>
      <c r="B20" s="194">
        <v>0.95499999999999996</v>
      </c>
      <c r="C20" s="194">
        <v>0.93799999999999994</v>
      </c>
      <c r="D20" s="194">
        <v>16</v>
      </c>
      <c r="E20" s="194">
        <v>0.95199999999999996</v>
      </c>
      <c r="F20" s="194">
        <v>0.96399999999999997</v>
      </c>
      <c r="G20" s="194">
        <v>28</v>
      </c>
      <c r="H20" s="194">
        <v>0.94</v>
      </c>
      <c r="I20" s="194">
        <v>0.94699999999999995</v>
      </c>
      <c r="J20" s="194">
        <v>19</v>
      </c>
      <c r="K20" s="194">
        <v>0.94299999999999995</v>
      </c>
      <c r="L20" s="194">
        <v>0.9</v>
      </c>
      <c r="M20" s="194">
        <v>20</v>
      </c>
      <c r="N20" s="194">
        <v>0.96199999999999997</v>
      </c>
      <c r="O20" s="194">
        <v>0.96799999999999997</v>
      </c>
      <c r="P20" s="194">
        <v>31</v>
      </c>
      <c r="Q20" s="194">
        <v>0.97599999999999998</v>
      </c>
      <c r="R20" s="194">
        <v>1</v>
      </c>
      <c r="S20" s="194">
        <v>27</v>
      </c>
      <c r="T20" s="194">
        <v>0.98099999999999998</v>
      </c>
      <c r="U20" s="194">
        <v>0.96199999999999997</v>
      </c>
      <c r="V20" s="194">
        <v>26</v>
      </c>
      <c r="W20" s="194"/>
      <c r="X20" s="194"/>
      <c r="Y20" s="194"/>
      <c r="Z20" s="194"/>
      <c r="AA20" s="194"/>
      <c r="AB20" s="194"/>
      <c r="AC20" s="194"/>
      <c r="AD20" s="194"/>
      <c r="AE20" s="194"/>
      <c r="AF20" s="194"/>
      <c r="AG20" s="194"/>
      <c r="AH20" s="194"/>
      <c r="AI20" s="194"/>
      <c r="AJ20" s="194"/>
      <c r="AK20" s="194"/>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row>
    <row r="21" spans="1:61" x14ac:dyDescent="0.3">
      <c r="A21" s="193" t="s">
        <v>480</v>
      </c>
      <c r="B21" s="194">
        <v>0.68400000000000005</v>
      </c>
      <c r="C21" s="194">
        <v>0.56499999999999995</v>
      </c>
      <c r="D21" s="194">
        <v>23</v>
      </c>
      <c r="E21" s="194">
        <v>0.70899999999999996</v>
      </c>
      <c r="F21" s="194">
        <v>0.86699999999999999</v>
      </c>
      <c r="G21" s="194">
        <v>15</v>
      </c>
      <c r="H21" s="194">
        <v>0.82399999999999995</v>
      </c>
      <c r="I21" s="194">
        <v>0.76500000000000001</v>
      </c>
      <c r="J21" s="194">
        <v>17</v>
      </c>
      <c r="K21" s="194">
        <v>0.77800000000000002</v>
      </c>
      <c r="L21" s="194">
        <v>0.84199999999999997</v>
      </c>
      <c r="M21" s="194">
        <v>19</v>
      </c>
      <c r="N21" s="194">
        <v>0.77100000000000002</v>
      </c>
      <c r="O21" s="194">
        <v>0.74099999999999999</v>
      </c>
      <c r="P21" s="194">
        <v>27</v>
      </c>
      <c r="Q21" s="194">
        <v>0.69399999999999995</v>
      </c>
      <c r="R21" s="194">
        <v>0.75</v>
      </c>
      <c r="S21" s="194">
        <v>24</v>
      </c>
      <c r="T21" s="194">
        <v>0.66700000000000004</v>
      </c>
      <c r="U21" s="194">
        <v>0.57099999999999995</v>
      </c>
      <c r="V21" s="194">
        <v>21</v>
      </c>
      <c r="W21" s="194"/>
      <c r="X21" s="194"/>
      <c r="Y21" s="194"/>
      <c r="Z21" s="194"/>
      <c r="AA21" s="194"/>
      <c r="AB21" s="194"/>
      <c r="AC21" s="194"/>
      <c r="AD21" s="194"/>
      <c r="AE21" s="194"/>
      <c r="AF21" s="194"/>
      <c r="AG21" s="194"/>
      <c r="AH21" s="194"/>
      <c r="AI21" s="194"/>
      <c r="AJ21" s="194"/>
      <c r="AK21" s="194"/>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row>
    <row r="22" spans="1:61" x14ac:dyDescent="0.3">
      <c r="A22" s="193" t="s">
        <v>408</v>
      </c>
      <c r="B22" s="194">
        <v>0.875</v>
      </c>
      <c r="C22" s="194">
        <v>0.75</v>
      </c>
      <c r="D22" s="194">
        <v>8</v>
      </c>
      <c r="E22" s="194">
        <v>0.87</v>
      </c>
      <c r="F22" s="194">
        <v>1</v>
      </c>
      <c r="G22" s="194">
        <v>8</v>
      </c>
      <c r="H22" s="194">
        <v>0.94699999999999995</v>
      </c>
      <c r="I22" s="194">
        <v>0.85699999999999998</v>
      </c>
      <c r="J22" s="194">
        <v>7</v>
      </c>
      <c r="K22" s="194">
        <v>0.78300000000000003</v>
      </c>
      <c r="L22" s="194">
        <v>1</v>
      </c>
      <c r="M22" s="194">
        <v>4</v>
      </c>
      <c r="N22" s="194">
        <v>0.81799999999999995</v>
      </c>
      <c r="O22" s="194">
        <v>0.66700000000000004</v>
      </c>
      <c r="P22" s="194">
        <v>12</v>
      </c>
      <c r="Q22" s="194">
        <v>0.76</v>
      </c>
      <c r="R22" s="194">
        <v>1</v>
      </c>
      <c r="S22" s="194">
        <v>6</v>
      </c>
      <c r="T22" s="194">
        <v>0.84599999999999997</v>
      </c>
      <c r="U22" s="194">
        <v>0.71399999999999997</v>
      </c>
      <c r="V22" s="194">
        <v>7</v>
      </c>
      <c r="W22" s="194"/>
      <c r="X22" s="194"/>
      <c r="Y22" s="194"/>
      <c r="Z22" s="194"/>
      <c r="AA22" s="194"/>
      <c r="AB22" s="194"/>
      <c r="AC22" s="194"/>
      <c r="AD22" s="194"/>
      <c r="AE22" s="194"/>
      <c r="AF22" s="194"/>
      <c r="AG22" s="194"/>
      <c r="AH22" s="194"/>
      <c r="AI22" s="194"/>
      <c r="AJ22" s="194"/>
      <c r="AK22" s="194"/>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row>
    <row r="23" spans="1:61" x14ac:dyDescent="0.3">
      <c r="A23" s="193" t="s">
        <v>488</v>
      </c>
      <c r="B23" s="194">
        <v>0.182</v>
      </c>
      <c r="C23" s="194">
        <v>0.33300000000000002</v>
      </c>
      <c r="D23" s="194">
        <v>3</v>
      </c>
      <c r="E23" s="194">
        <v>0.188</v>
      </c>
      <c r="F23" s="194">
        <v>0.125</v>
      </c>
      <c r="G23" s="194">
        <v>8</v>
      </c>
      <c r="H23" s="194">
        <v>0.23499999999999999</v>
      </c>
      <c r="I23" s="194">
        <v>0.2</v>
      </c>
      <c r="J23" s="194">
        <v>5</v>
      </c>
      <c r="K23" s="194">
        <v>0.28599999999999998</v>
      </c>
      <c r="L23" s="194">
        <v>0.5</v>
      </c>
      <c r="M23" s="194">
        <v>4</v>
      </c>
      <c r="N23" s="194">
        <v>0.35699999999999998</v>
      </c>
      <c r="O23" s="194">
        <v>0.2</v>
      </c>
      <c r="P23" s="194">
        <v>5</v>
      </c>
      <c r="Q23" s="194">
        <v>0.308</v>
      </c>
      <c r="R23" s="194">
        <v>0.4</v>
      </c>
      <c r="S23" s="194">
        <v>5</v>
      </c>
      <c r="T23" s="194">
        <v>0.375</v>
      </c>
      <c r="U23" s="194">
        <v>0.33300000000000002</v>
      </c>
      <c r="V23" s="194">
        <v>3</v>
      </c>
      <c r="W23" s="194"/>
      <c r="X23" s="194"/>
      <c r="Y23" s="194"/>
      <c r="Z23" s="194"/>
      <c r="AA23" s="194"/>
      <c r="AB23" s="194"/>
      <c r="AC23" s="194"/>
      <c r="AD23" s="194"/>
      <c r="AE23" s="194"/>
      <c r="AF23" s="194"/>
      <c r="AG23" s="194"/>
      <c r="AH23" s="194"/>
      <c r="AI23" s="194"/>
      <c r="AJ23" s="194"/>
      <c r="AK23" s="194"/>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row>
    <row r="24" spans="1:61" x14ac:dyDescent="0.3">
      <c r="A24" s="193" t="s">
        <v>284</v>
      </c>
      <c r="B24" s="194">
        <v>0.74299999999999999</v>
      </c>
      <c r="C24" s="194">
        <v>0.8</v>
      </c>
      <c r="D24" s="194">
        <v>20</v>
      </c>
      <c r="E24" s="194">
        <v>0.63800000000000001</v>
      </c>
      <c r="F24" s="194">
        <v>0.66700000000000004</v>
      </c>
      <c r="G24" s="194">
        <v>15</v>
      </c>
      <c r="H24" s="194">
        <v>0.66700000000000004</v>
      </c>
      <c r="I24" s="194">
        <v>0.33300000000000002</v>
      </c>
      <c r="J24" s="194">
        <v>12</v>
      </c>
      <c r="K24" s="194">
        <v>0.72699999999999998</v>
      </c>
      <c r="L24" s="194">
        <v>0.93300000000000005</v>
      </c>
      <c r="M24" s="194">
        <v>15</v>
      </c>
      <c r="N24" s="194">
        <v>0.82</v>
      </c>
      <c r="O24" s="194">
        <v>0.82399999999999995</v>
      </c>
      <c r="P24" s="194">
        <v>17</v>
      </c>
      <c r="Q24" s="194">
        <v>0.80400000000000005</v>
      </c>
      <c r="R24" s="194">
        <v>0.72199999999999998</v>
      </c>
      <c r="S24" s="194">
        <v>18</v>
      </c>
      <c r="T24" s="194">
        <v>0.79400000000000004</v>
      </c>
      <c r="U24" s="194">
        <v>0.875</v>
      </c>
      <c r="V24" s="194">
        <v>16</v>
      </c>
      <c r="W24" s="194"/>
      <c r="X24" s="194"/>
      <c r="Y24" s="194"/>
      <c r="Z24" s="194"/>
      <c r="AA24" s="194"/>
      <c r="AB24" s="194"/>
      <c r="AC24" s="194"/>
      <c r="AD24" s="194"/>
      <c r="AE24" s="194"/>
      <c r="AF24" s="194"/>
      <c r="AG24" s="194"/>
      <c r="AH24" s="194"/>
      <c r="AI24" s="194"/>
      <c r="AJ24" s="194"/>
      <c r="AK24" s="194"/>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row>
    <row r="25" spans="1:61" x14ac:dyDescent="0.3">
      <c r="A25" s="193" t="s">
        <v>554</v>
      </c>
      <c r="B25" s="194">
        <v>0.92100000000000004</v>
      </c>
      <c r="C25" s="194">
        <v>0.85199999999999998</v>
      </c>
      <c r="D25" s="194">
        <v>27</v>
      </c>
      <c r="E25" s="194">
        <v>0.94099999999999995</v>
      </c>
      <c r="F25" s="194">
        <v>0.97199999999999998</v>
      </c>
      <c r="G25" s="194">
        <v>36</v>
      </c>
      <c r="H25" s="194">
        <v>0.98299999999999998</v>
      </c>
      <c r="I25" s="194">
        <v>0.97399999999999998</v>
      </c>
      <c r="J25" s="194">
        <v>39</v>
      </c>
      <c r="K25" s="194">
        <v>0.98</v>
      </c>
      <c r="L25" s="194">
        <v>1</v>
      </c>
      <c r="M25" s="194">
        <v>42</v>
      </c>
      <c r="N25" s="194">
        <v>0.98099999999999998</v>
      </c>
      <c r="O25" s="194">
        <v>0.94099999999999995</v>
      </c>
      <c r="P25" s="194">
        <v>17</v>
      </c>
      <c r="Q25" s="194">
        <v>0.93200000000000005</v>
      </c>
      <c r="R25" s="194">
        <v>0.97899999999999998</v>
      </c>
      <c r="S25" s="194">
        <v>48</v>
      </c>
      <c r="T25" s="194">
        <v>0.93</v>
      </c>
      <c r="U25" s="194">
        <v>0.86799999999999999</v>
      </c>
      <c r="V25" s="194">
        <v>38</v>
      </c>
      <c r="W25" s="194"/>
      <c r="X25" s="194"/>
      <c r="Y25" s="194"/>
      <c r="Z25" s="194"/>
      <c r="AA25" s="194"/>
      <c r="AB25" s="194"/>
      <c r="AC25" s="194"/>
      <c r="AD25" s="194"/>
      <c r="AE25" s="194"/>
      <c r="AF25" s="194"/>
      <c r="AG25" s="194"/>
      <c r="AH25" s="194"/>
      <c r="AI25" s="194"/>
      <c r="AJ25" s="194"/>
      <c r="AK25" s="194"/>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row>
    <row r="26" spans="1:61" x14ac:dyDescent="0.3">
      <c r="A26" s="193" t="s">
        <v>369</v>
      </c>
      <c r="B26" s="194">
        <v>0.78900000000000003</v>
      </c>
      <c r="C26" s="194">
        <v>1</v>
      </c>
      <c r="D26" s="194">
        <v>10</v>
      </c>
      <c r="E26" s="194">
        <v>0.69</v>
      </c>
      <c r="F26" s="194">
        <v>0.55600000000000005</v>
      </c>
      <c r="G26" s="194">
        <v>9</v>
      </c>
      <c r="H26" s="194">
        <v>0.58299999999999996</v>
      </c>
      <c r="I26" s="194">
        <v>0.5</v>
      </c>
      <c r="J26" s="194">
        <v>10</v>
      </c>
      <c r="K26" s="194">
        <v>0.64300000000000002</v>
      </c>
      <c r="L26" s="194">
        <v>0.8</v>
      </c>
      <c r="M26" s="194">
        <v>5</v>
      </c>
      <c r="N26" s="194">
        <v>0.69199999999999995</v>
      </c>
      <c r="O26" s="194">
        <v>0.69199999999999995</v>
      </c>
      <c r="P26" s="194">
        <v>13</v>
      </c>
      <c r="Q26" s="194">
        <v>0.70399999999999996</v>
      </c>
      <c r="R26" s="194">
        <v>0.625</v>
      </c>
      <c r="S26" s="194">
        <v>8</v>
      </c>
      <c r="T26" s="194">
        <v>0.71399999999999997</v>
      </c>
      <c r="U26" s="194">
        <v>0.83299999999999996</v>
      </c>
      <c r="V26" s="194">
        <v>6</v>
      </c>
      <c r="W26" s="194"/>
      <c r="X26" s="194"/>
      <c r="Y26" s="194"/>
      <c r="Z26" s="194"/>
      <c r="AA26" s="194"/>
      <c r="AB26" s="194"/>
      <c r="AC26" s="194"/>
      <c r="AD26" s="194"/>
      <c r="AE26" s="194"/>
      <c r="AF26" s="194"/>
      <c r="AG26" s="194"/>
      <c r="AH26" s="194"/>
      <c r="AI26" s="194"/>
      <c r="AJ26" s="194"/>
      <c r="AK26" s="194"/>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row>
    <row r="27" spans="1:61" x14ac:dyDescent="0.3">
      <c r="A27" s="193" t="s">
        <v>262</v>
      </c>
      <c r="B27" s="194">
        <v>0.75</v>
      </c>
      <c r="C27" s="194">
        <v>0.71399999999999997</v>
      </c>
      <c r="D27" s="194">
        <v>7</v>
      </c>
      <c r="E27" s="194">
        <v>0.73899999999999999</v>
      </c>
      <c r="F27" s="194">
        <v>0.76900000000000002</v>
      </c>
      <c r="G27" s="194">
        <v>13</v>
      </c>
      <c r="H27" s="194">
        <v>0.8</v>
      </c>
      <c r="I27" s="194">
        <v>0.66700000000000004</v>
      </c>
      <c r="J27" s="194">
        <v>3</v>
      </c>
      <c r="K27" s="194">
        <v>0.90500000000000003</v>
      </c>
      <c r="L27" s="194">
        <v>0.88900000000000001</v>
      </c>
      <c r="M27" s="194">
        <v>9</v>
      </c>
      <c r="N27" s="194">
        <v>0.82099999999999995</v>
      </c>
      <c r="O27" s="194">
        <v>1</v>
      </c>
      <c r="P27" s="194">
        <v>9</v>
      </c>
      <c r="Q27" s="194">
        <v>0.74199999999999999</v>
      </c>
      <c r="R27" s="194">
        <v>0.6</v>
      </c>
      <c r="S27" s="194">
        <v>10</v>
      </c>
      <c r="T27" s="194">
        <v>0.63600000000000001</v>
      </c>
      <c r="U27" s="194">
        <v>0.66700000000000004</v>
      </c>
      <c r="V27" s="194">
        <v>12</v>
      </c>
      <c r="W27" s="194"/>
      <c r="X27" s="194"/>
      <c r="Y27" s="194"/>
      <c r="Z27" s="194"/>
      <c r="AA27" s="194"/>
      <c r="AB27" s="194"/>
      <c r="AC27" s="194"/>
      <c r="AD27" s="194"/>
      <c r="AE27" s="194"/>
      <c r="AF27" s="194"/>
      <c r="AG27" s="194"/>
      <c r="AH27" s="194"/>
      <c r="AI27" s="194"/>
      <c r="AJ27" s="194"/>
      <c r="AK27" s="194"/>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row>
    <row r="28" spans="1:61" x14ac:dyDescent="0.3">
      <c r="A28" s="193" t="s">
        <v>500</v>
      </c>
      <c r="B28" s="194">
        <v>0.83299999999999996</v>
      </c>
      <c r="C28" s="194">
        <v>1</v>
      </c>
      <c r="D28" s="194">
        <v>5</v>
      </c>
      <c r="E28" s="194">
        <v>0.76500000000000001</v>
      </c>
      <c r="F28" s="194">
        <v>0.71399999999999997</v>
      </c>
      <c r="G28" s="194">
        <v>7</v>
      </c>
      <c r="H28" s="194">
        <v>0.71399999999999997</v>
      </c>
      <c r="I28" s="194">
        <v>0.6</v>
      </c>
      <c r="J28" s="194">
        <v>5</v>
      </c>
      <c r="K28" s="194">
        <v>0.66700000000000004</v>
      </c>
      <c r="L28" s="194">
        <v>1</v>
      </c>
      <c r="M28" s="194">
        <v>2</v>
      </c>
      <c r="N28" s="194">
        <v>0.5</v>
      </c>
      <c r="O28" s="194">
        <v>0.5</v>
      </c>
      <c r="P28" s="194">
        <v>2</v>
      </c>
      <c r="Q28" s="194">
        <v>0.4</v>
      </c>
      <c r="R28" s="194">
        <v>0.25</v>
      </c>
      <c r="S28" s="194">
        <v>4</v>
      </c>
      <c r="T28" s="194">
        <v>0.375</v>
      </c>
      <c r="U28" s="194">
        <v>0.5</v>
      </c>
      <c r="V28" s="194">
        <v>4</v>
      </c>
      <c r="W28" s="194"/>
      <c r="X28" s="194"/>
      <c r="Y28" s="194"/>
      <c r="Z28" s="194"/>
      <c r="AA28" s="194"/>
      <c r="AB28" s="194"/>
      <c r="AC28" s="194"/>
      <c r="AD28" s="194"/>
      <c r="AE28" s="194"/>
      <c r="AF28" s="194"/>
      <c r="AG28" s="194"/>
      <c r="AH28" s="194"/>
      <c r="AI28" s="194"/>
      <c r="AJ28" s="194"/>
      <c r="AK28" s="194"/>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row>
    <row r="29" spans="1:61" x14ac:dyDescent="0.3">
      <c r="A29" s="193" t="s">
        <v>454</v>
      </c>
      <c r="B29" s="194">
        <v>0.61399999999999999</v>
      </c>
      <c r="C29" s="194">
        <v>0.68799999999999994</v>
      </c>
      <c r="D29" s="194">
        <v>16</v>
      </c>
      <c r="E29" s="194">
        <v>0.67100000000000004</v>
      </c>
      <c r="F29" s="194">
        <v>0.57099999999999995</v>
      </c>
      <c r="G29" s="194">
        <v>28</v>
      </c>
      <c r="H29" s="194">
        <v>0.68799999999999994</v>
      </c>
      <c r="I29" s="194">
        <v>0.76900000000000002</v>
      </c>
      <c r="J29" s="194">
        <v>26</v>
      </c>
      <c r="K29" s="194">
        <v>0.71599999999999997</v>
      </c>
      <c r="L29" s="194">
        <v>0.73899999999999999</v>
      </c>
      <c r="M29" s="194">
        <v>23</v>
      </c>
      <c r="N29" s="194">
        <v>0.72099999999999997</v>
      </c>
      <c r="O29" s="194">
        <v>0.61099999999999999</v>
      </c>
      <c r="P29" s="194">
        <v>18</v>
      </c>
      <c r="Q29" s="194">
        <v>0.73799999999999999</v>
      </c>
      <c r="R29" s="194">
        <v>0.8</v>
      </c>
      <c r="S29" s="194">
        <v>20</v>
      </c>
      <c r="T29" s="194">
        <v>0.79100000000000004</v>
      </c>
      <c r="U29" s="194">
        <v>0.78300000000000003</v>
      </c>
      <c r="V29" s="194">
        <v>23</v>
      </c>
      <c r="W29" s="194"/>
      <c r="X29" s="194"/>
      <c r="Y29" s="194"/>
      <c r="Z29" s="194"/>
      <c r="AA29" s="194"/>
      <c r="AB29" s="194"/>
      <c r="AC29" s="194"/>
      <c r="AD29" s="194"/>
      <c r="AE29" s="194"/>
      <c r="AF29" s="194"/>
      <c r="AG29" s="194"/>
      <c r="AH29" s="194"/>
      <c r="AI29" s="194"/>
      <c r="AJ29" s="194"/>
      <c r="AK29" s="194"/>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row>
    <row r="30" spans="1:61" x14ac:dyDescent="0.3">
      <c r="A30" s="193" t="s">
        <v>412</v>
      </c>
      <c r="B30" s="194">
        <v>0.33300000000000002</v>
      </c>
      <c r="C30" s="194">
        <v>0.3</v>
      </c>
      <c r="D30" s="194">
        <v>10</v>
      </c>
      <c r="E30" s="194">
        <v>0.33300000000000002</v>
      </c>
      <c r="F30" s="194">
        <v>0.4</v>
      </c>
      <c r="G30" s="194">
        <v>5</v>
      </c>
      <c r="H30" s="194">
        <v>0.28599999999999998</v>
      </c>
      <c r="I30" s="194"/>
      <c r="J30" s="194"/>
      <c r="K30" s="194">
        <v>0.33300000000000002</v>
      </c>
      <c r="L30" s="194">
        <v>0</v>
      </c>
      <c r="M30" s="194">
        <v>2</v>
      </c>
      <c r="N30" s="194">
        <v>0.3</v>
      </c>
      <c r="O30" s="194">
        <v>0.42899999999999999</v>
      </c>
      <c r="P30" s="194">
        <v>7</v>
      </c>
      <c r="Q30" s="194">
        <v>0.45500000000000002</v>
      </c>
      <c r="R30" s="194">
        <v>0</v>
      </c>
      <c r="S30" s="194">
        <v>1</v>
      </c>
      <c r="T30" s="194">
        <v>0.5</v>
      </c>
      <c r="U30" s="194">
        <v>0.66700000000000004</v>
      </c>
      <c r="V30" s="194">
        <v>3</v>
      </c>
      <c r="W30" s="194"/>
      <c r="X30" s="194"/>
      <c r="Y30" s="194"/>
      <c r="Z30" s="194"/>
      <c r="AA30" s="194"/>
      <c r="AB30" s="194"/>
      <c r="AC30" s="194"/>
      <c r="AD30" s="194"/>
      <c r="AE30" s="194"/>
      <c r="AF30" s="194"/>
      <c r="AG30" s="194"/>
      <c r="AH30" s="194"/>
      <c r="AI30" s="194"/>
      <c r="AJ30" s="194"/>
      <c r="AK30" s="194"/>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row>
    <row r="31" spans="1:61" x14ac:dyDescent="0.3">
      <c r="A31" s="193" t="s">
        <v>346</v>
      </c>
      <c r="B31" s="194">
        <v>0.77</v>
      </c>
      <c r="C31" s="194">
        <v>0.73699999999999999</v>
      </c>
      <c r="D31" s="194">
        <v>38</v>
      </c>
      <c r="E31" s="194">
        <v>0.64200000000000002</v>
      </c>
      <c r="F31" s="194">
        <v>0.80600000000000005</v>
      </c>
      <c r="G31" s="194">
        <v>36</v>
      </c>
      <c r="H31" s="194">
        <v>0.61899999999999999</v>
      </c>
      <c r="I31" s="194">
        <v>0.34399999999999997</v>
      </c>
      <c r="J31" s="194">
        <v>32</v>
      </c>
      <c r="K31" s="194">
        <v>0.61899999999999999</v>
      </c>
      <c r="L31" s="194">
        <v>0.67600000000000005</v>
      </c>
      <c r="M31" s="194">
        <v>37</v>
      </c>
      <c r="N31" s="194">
        <v>0.73799999999999999</v>
      </c>
      <c r="O31" s="194">
        <v>0.77300000000000002</v>
      </c>
      <c r="P31" s="194">
        <v>44</v>
      </c>
      <c r="Q31" s="194">
        <v>0.76300000000000001</v>
      </c>
      <c r="R31" s="194">
        <v>0.75600000000000001</v>
      </c>
      <c r="S31" s="194">
        <v>41</v>
      </c>
      <c r="T31" s="194">
        <v>0.75700000000000001</v>
      </c>
      <c r="U31" s="194">
        <v>0.75800000000000001</v>
      </c>
      <c r="V31" s="194">
        <v>33</v>
      </c>
      <c r="W31" s="194"/>
      <c r="X31" s="194"/>
      <c r="Y31" s="194"/>
      <c r="Z31" s="194"/>
      <c r="AA31" s="194"/>
      <c r="AB31" s="194"/>
      <c r="AC31" s="194"/>
      <c r="AD31" s="194"/>
      <c r="AE31" s="194"/>
      <c r="AF31" s="194"/>
      <c r="AG31" s="194"/>
      <c r="AH31" s="194"/>
      <c r="AI31" s="194"/>
      <c r="AJ31" s="194"/>
      <c r="AK31" s="194"/>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row>
    <row r="32" spans="1:61" x14ac:dyDescent="0.3">
      <c r="A32" s="193" t="s">
        <v>352</v>
      </c>
      <c r="B32" s="194">
        <v>0.59599999999999997</v>
      </c>
      <c r="C32" s="194">
        <v>0.64300000000000002</v>
      </c>
      <c r="D32" s="194">
        <v>56</v>
      </c>
      <c r="E32" s="194">
        <v>0.61</v>
      </c>
      <c r="F32" s="194">
        <v>0.55200000000000005</v>
      </c>
      <c r="G32" s="194">
        <v>58</v>
      </c>
      <c r="H32" s="194">
        <v>0.60599999999999998</v>
      </c>
      <c r="I32" s="194">
        <v>0.64</v>
      </c>
      <c r="J32" s="194">
        <v>50</v>
      </c>
      <c r="K32" s="194">
        <v>0.67300000000000004</v>
      </c>
      <c r="L32" s="194">
        <v>0.63500000000000001</v>
      </c>
      <c r="M32" s="194">
        <v>52</v>
      </c>
      <c r="N32" s="194">
        <v>0.67600000000000005</v>
      </c>
      <c r="O32" s="194">
        <v>0.75</v>
      </c>
      <c r="P32" s="194">
        <v>48</v>
      </c>
      <c r="Q32" s="194">
        <v>0.71799999999999997</v>
      </c>
      <c r="R32" s="194">
        <v>0.64100000000000001</v>
      </c>
      <c r="S32" s="194">
        <v>39</v>
      </c>
      <c r="T32" s="194">
        <v>0.69699999999999995</v>
      </c>
      <c r="U32" s="194">
        <v>0.75700000000000001</v>
      </c>
      <c r="V32" s="194">
        <v>37</v>
      </c>
      <c r="W32" s="194"/>
      <c r="X32" s="194"/>
      <c r="Y32" s="194"/>
      <c r="Z32" s="194"/>
      <c r="AA32" s="194"/>
      <c r="AB32" s="194"/>
      <c r="AC32" s="194"/>
      <c r="AD32" s="194"/>
      <c r="AE32" s="194"/>
      <c r="AF32" s="194"/>
      <c r="AG32" s="194"/>
      <c r="AH32" s="194"/>
      <c r="AI32" s="194"/>
      <c r="AJ32" s="194"/>
      <c r="AK32" s="194"/>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row>
    <row r="33" spans="1:61" x14ac:dyDescent="0.3">
      <c r="A33" s="193" t="s">
        <v>446</v>
      </c>
      <c r="B33" s="194">
        <v>0.74099999999999999</v>
      </c>
      <c r="C33" s="194">
        <v>0.79300000000000004</v>
      </c>
      <c r="D33" s="194">
        <v>29</v>
      </c>
      <c r="E33" s="194">
        <v>0.73299999999999998</v>
      </c>
      <c r="F33" s="194">
        <v>0.68</v>
      </c>
      <c r="G33" s="194">
        <v>25</v>
      </c>
      <c r="H33" s="194">
        <v>0.66200000000000003</v>
      </c>
      <c r="I33" s="194">
        <v>0.71399999999999997</v>
      </c>
      <c r="J33" s="194">
        <v>21</v>
      </c>
      <c r="K33" s="194">
        <v>0.69699999999999995</v>
      </c>
      <c r="L33" s="194">
        <v>0.57899999999999996</v>
      </c>
      <c r="M33" s="194">
        <v>19</v>
      </c>
      <c r="N33" s="194">
        <v>0.66700000000000004</v>
      </c>
      <c r="O33" s="194">
        <v>0.76900000000000002</v>
      </c>
      <c r="P33" s="194">
        <v>26</v>
      </c>
      <c r="Q33" s="194">
        <v>0.76600000000000001</v>
      </c>
      <c r="R33" s="194">
        <v>0.625</v>
      </c>
      <c r="S33" s="194">
        <v>24</v>
      </c>
      <c r="T33" s="194">
        <v>0.76500000000000001</v>
      </c>
      <c r="U33" s="194">
        <v>0.88900000000000001</v>
      </c>
      <c r="V33" s="194">
        <v>27</v>
      </c>
      <c r="W33" s="194"/>
      <c r="X33" s="194"/>
      <c r="Y33" s="194"/>
      <c r="Z33" s="194"/>
      <c r="AA33" s="194"/>
      <c r="AB33" s="194"/>
      <c r="AC33" s="194"/>
      <c r="AD33" s="194"/>
      <c r="AE33" s="194"/>
      <c r="AF33" s="194"/>
      <c r="AG33" s="194"/>
      <c r="AH33" s="194"/>
      <c r="AI33" s="194"/>
      <c r="AJ33" s="194"/>
      <c r="AK33" s="194"/>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row>
    <row r="34" spans="1:61" x14ac:dyDescent="0.3">
      <c r="A34" s="193" t="s">
        <v>396</v>
      </c>
      <c r="B34" s="194">
        <v>0.56299999999999994</v>
      </c>
      <c r="C34" s="194">
        <v>0.57099999999999995</v>
      </c>
      <c r="D34" s="194">
        <v>28</v>
      </c>
      <c r="E34" s="194">
        <v>0.58599999999999997</v>
      </c>
      <c r="F34" s="194">
        <v>0.55000000000000004</v>
      </c>
      <c r="G34" s="194">
        <v>20</v>
      </c>
      <c r="H34" s="194">
        <v>0.64300000000000002</v>
      </c>
      <c r="I34" s="194">
        <v>0.61499999999999999</v>
      </c>
      <c r="J34" s="194">
        <v>39</v>
      </c>
      <c r="K34" s="194">
        <v>0.68899999999999995</v>
      </c>
      <c r="L34" s="194">
        <v>0.76</v>
      </c>
      <c r="M34" s="194">
        <v>25</v>
      </c>
      <c r="N34" s="194">
        <v>0.78400000000000003</v>
      </c>
      <c r="O34" s="194">
        <v>0.73099999999999998</v>
      </c>
      <c r="P34" s="194">
        <v>26</v>
      </c>
      <c r="Q34" s="194">
        <v>0.8</v>
      </c>
      <c r="R34" s="194">
        <v>0.87</v>
      </c>
      <c r="S34" s="194">
        <v>23</v>
      </c>
      <c r="T34" s="194">
        <v>0.83699999999999997</v>
      </c>
      <c r="U34" s="194">
        <v>0.80800000000000005</v>
      </c>
      <c r="V34" s="194">
        <v>26</v>
      </c>
      <c r="W34" s="194"/>
      <c r="X34" s="194"/>
      <c r="Y34" s="194"/>
      <c r="Z34" s="194"/>
      <c r="AA34" s="194"/>
      <c r="AB34" s="194"/>
      <c r="AC34" s="194"/>
      <c r="AD34" s="194"/>
      <c r="AE34" s="194"/>
      <c r="AF34" s="194"/>
      <c r="AG34" s="194"/>
      <c r="AH34" s="194"/>
      <c r="AI34" s="194"/>
      <c r="AJ34" s="194"/>
      <c r="AK34" s="194"/>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row>
    <row r="35" spans="1:61" x14ac:dyDescent="0.3">
      <c r="A35" s="193" t="s">
        <v>272</v>
      </c>
      <c r="B35" s="194">
        <v>0.16700000000000001</v>
      </c>
      <c r="C35" s="194">
        <v>0.14299999999999999</v>
      </c>
      <c r="D35" s="194">
        <v>7</v>
      </c>
      <c r="E35" s="194">
        <v>0.16200000000000001</v>
      </c>
      <c r="F35" s="194">
        <v>0.182</v>
      </c>
      <c r="G35" s="194">
        <v>11</v>
      </c>
      <c r="H35" s="194">
        <v>0.308</v>
      </c>
      <c r="I35" s="194">
        <v>0.158</v>
      </c>
      <c r="J35" s="194">
        <v>19</v>
      </c>
      <c r="K35" s="194">
        <v>0.27500000000000002</v>
      </c>
      <c r="L35" s="194">
        <v>0.77800000000000002</v>
      </c>
      <c r="M35" s="194">
        <v>9</v>
      </c>
      <c r="N35" s="194">
        <v>0.42899999999999999</v>
      </c>
      <c r="O35" s="194">
        <v>8.3000000000000004E-2</v>
      </c>
      <c r="P35" s="194">
        <v>12</v>
      </c>
      <c r="Q35" s="194">
        <v>0.39300000000000002</v>
      </c>
      <c r="R35" s="194">
        <v>0.47599999999999998</v>
      </c>
      <c r="S35" s="194">
        <v>21</v>
      </c>
      <c r="T35" s="194">
        <v>0.47699999999999998</v>
      </c>
      <c r="U35" s="194">
        <v>0.47799999999999998</v>
      </c>
      <c r="V35" s="194">
        <v>23</v>
      </c>
      <c r="W35" s="194"/>
      <c r="X35" s="194"/>
      <c r="Y35" s="194"/>
      <c r="Z35" s="194"/>
      <c r="AA35" s="194"/>
      <c r="AB35" s="194"/>
      <c r="AC35" s="194"/>
      <c r="AD35" s="194"/>
      <c r="AE35" s="194"/>
      <c r="AF35" s="194"/>
      <c r="AG35" s="194"/>
      <c r="AH35" s="194"/>
      <c r="AI35" s="194"/>
      <c r="AJ35" s="194"/>
      <c r="AK35" s="194"/>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row>
    <row r="36" spans="1:61" x14ac:dyDescent="0.3">
      <c r="A36" s="193" t="s">
        <v>276</v>
      </c>
      <c r="B36" s="194">
        <v>1</v>
      </c>
      <c r="C36" s="194">
        <v>1</v>
      </c>
      <c r="D36" s="194">
        <v>15</v>
      </c>
      <c r="E36" s="194">
        <v>1</v>
      </c>
      <c r="F36" s="194">
        <v>1</v>
      </c>
      <c r="G36" s="194">
        <v>10</v>
      </c>
      <c r="H36" s="194">
        <v>0.78600000000000003</v>
      </c>
      <c r="I36" s="194">
        <v>1</v>
      </c>
      <c r="J36" s="194">
        <v>7</v>
      </c>
      <c r="K36" s="194">
        <v>0.67900000000000005</v>
      </c>
      <c r="L36" s="194">
        <v>0.45500000000000002</v>
      </c>
      <c r="M36" s="194">
        <v>11</v>
      </c>
      <c r="N36" s="194">
        <v>0.59399999999999997</v>
      </c>
      <c r="O36" s="194">
        <v>0.7</v>
      </c>
      <c r="P36" s="194">
        <v>10</v>
      </c>
      <c r="Q36" s="194">
        <v>0.73299999999999998</v>
      </c>
      <c r="R36" s="194">
        <v>0.63600000000000001</v>
      </c>
      <c r="S36" s="194">
        <v>11</v>
      </c>
      <c r="T36" s="194">
        <v>0.75</v>
      </c>
      <c r="U36" s="194">
        <v>0.88900000000000001</v>
      </c>
      <c r="V36" s="194">
        <v>9</v>
      </c>
      <c r="W36" s="194"/>
      <c r="X36" s="194"/>
      <c r="Y36" s="194"/>
      <c r="Z36" s="194"/>
      <c r="AA36" s="194"/>
      <c r="AB36" s="194"/>
      <c r="AC36" s="194"/>
      <c r="AD36" s="194"/>
      <c r="AE36" s="194"/>
      <c r="AF36" s="194"/>
      <c r="AG36" s="194"/>
      <c r="AH36" s="194"/>
      <c r="AI36" s="194"/>
      <c r="AJ36" s="194"/>
      <c r="AK36" s="194"/>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row>
    <row r="37" spans="1:61" x14ac:dyDescent="0.3">
      <c r="A37" s="193" t="s">
        <v>502</v>
      </c>
      <c r="B37" s="194">
        <v>0.54500000000000004</v>
      </c>
      <c r="C37" s="194">
        <v>0.61099999999999999</v>
      </c>
      <c r="D37" s="194">
        <v>18</v>
      </c>
      <c r="E37" s="194">
        <v>0.41499999999999998</v>
      </c>
      <c r="F37" s="194">
        <v>0.46700000000000003</v>
      </c>
      <c r="G37" s="194">
        <v>15</v>
      </c>
      <c r="H37" s="194">
        <v>0.36599999999999999</v>
      </c>
      <c r="I37" s="194">
        <v>0.2</v>
      </c>
      <c r="J37" s="194">
        <v>20</v>
      </c>
      <c r="K37" s="194">
        <v>0.313</v>
      </c>
      <c r="L37" s="194">
        <v>0.66700000000000004</v>
      </c>
      <c r="M37" s="194">
        <v>6</v>
      </c>
      <c r="N37" s="194">
        <v>0.52400000000000002</v>
      </c>
      <c r="O37" s="194">
        <v>0.33300000000000002</v>
      </c>
      <c r="P37" s="194">
        <v>6</v>
      </c>
      <c r="Q37" s="194">
        <v>0.40699999999999997</v>
      </c>
      <c r="R37" s="194">
        <v>0.55600000000000005</v>
      </c>
      <c r="S37" s="194">
        <v>9</v>
      </c>
      <c r="T37" s="194">
        <v>0.42899999999999999</v>
      </c>
      <c r="U37" s="194">
        <v>0.33300000000000002</v>
      </c>
      <c r="V37" s="194">
        <v>12</v>
      </c>
      <c r="W37" s="194"/>
      <c r="X37" s="194"/>
      <c r="Y37" s="194"/>
      <c r="Z37" s="194"/>
      <c r="AA37" s="194"/>
      <c r="AB37" s="194"/>
      <c r="AC37" s="194"/>
      <c r="AD37" s="194"/>
      <c r="AE37" s="194"/>
      <c r="AF37" s="194"/>
      <c r="AG37" s="194"/>
      <c r="AH37" s="194"/>
      <c r="AI37" s="194"/>
      <c r="AJ37" s="194"/>
      <c r="AK37" s="194"/>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row>
    <row r="38" spans="1:61" x14ac:dyDescent="0.3">
      <c r="A38" s="193" t="s">
        <v>314</v>
      </c>
      <c r="B38" s="194">
        <v>1</v>
      </c>
      <c r="C38" s="194">
        <v>1</v>
      </c>
      <c r="D38" s="194">
        <v>9</v>
      </c>
      <c r="E38" s="194">
        <v>0.97099999999999997</v>
      </c>
      <c r="F38" s="194">
        <v>1</v>
      </c>
      <c r="G38" s="194">
        <v>7</v>
      </c>
      <c r="H38" s="194">
        <v>0.89200000000000002</v>
      </c>
      <c r="I38" s="194">
        <v>0.94399999999999995</v>
      </c>
      <c r="J38" s="194">
        <v>18</v>
      </c>
      <c r="K38" s="194">
        <v>0.85</v>
      </c>
      <c r="L38" s="194">
        <v>0.75</v>
      </c>
      <c r="M38" s="194">
        <v>12</v>
      </c>
      <c r="N38" s="194">
        <v>0.80600000000000005</v>
      </c>
      <c r="O38" s="194">
        <v>0.8</v>
      </c>
      <c r="P38" s="194">
        <v>10</v>
      </c>
      <c r="Q38" s="194">
        <v>0.85699999999999998</v>
      </c>
      <c r="R38" s="194">
        <v>0.88900000000000001</v>
      </c>
      <c r="S38" s="194">
        <v>9</v>
      </c>
      <c r="T38" s="194">
        <v>0.88900000000000001</v>
      </c>
      <c r="U38" s="194">
        <v>0.88900000000000001</v>
      </c>
      <c r="V38" s="194">
        <v>9</v>
      </c>
      <c r="W38" s="194"/>
      <c r="X38" s="194"/>
      <c r="Y38" s="194"/>
      <c r="Z38" s="194"/>
      <c r="AA38" s="194"/>
      <c r="AB38" s="194"/>
      <c r="AC38" s="194"/>
      <c r="AD38" s="194"/>
      <c r="AE38" s="194"/>
      <c r="AF38" s="194"/>
      <c r="AG38" s="194"/>
      <c r="AH38" s="194"/>
      <c r="AI38" s="194"/>
      <c r="AJ38" s="194"/>
      <c r="AK38" s="194"/>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row>
    <row r="39" spans="1:61" x14ac:dyDescent="0.3">
      <c r="A39" s="193" t="s">
        <v>425</v>
      </c>
      <c r="B39" s="194">
        <v>0.76900000000000002</v>
      </c>
      <c r="C39" s="194">
        <v>0.71399999999999997</v>
      </c>
      <c r="D39" s="194">
        <v>21</v>
      </c>
      <c r="E39" s="194">
        <v>0.76600000000000001</v>
      </c>
      <c r="F39" s="194">
        <v>0.83299999999999996</v>
      </c>
      <c r="G39" s="194">
        <v>18</v>
      </c>
      <c r="H39" s="194">
        <v>0.67400000000000004</v>
      </c>
      <c r="I39" s="194">
        <v>0.75</v>
      </c>
      <c r="J39" s="194">
        <v>8</v>
      </c>
      <c r="K39" s="194">
        <v>0.65800000000000003</v>
      </c>
      <c r="L39" s="194">
        <v>0.47099999999999997</v>
      </c>
      <c r="M39" s="194">
        <v>17</v>
      </c>
      <c r="N39" s="194">
        <v>0.66</v>
      </c>
      <c r="O39" s="194">
        <v>0.84599999999999997</v>
      </c>
      <c r="P39" s="194">
        <v>13</v>
      </c>
      <c r="Q39" s="194">
        <v>0.74099999999999999</v>
      </c>
      <c r="R39" s="194">
        <v>0.7</v>
      </c>
      <c r="S39" s="194">
        <v>20</v>
      </c>
      <c r="T39" s="194">
        <v>0.71099999999999997</v>
      </c>
      <c r="U39" s="194">
        <v>0.72</v>
      </c>
      <c r="V39" s="194">
        <v>25</v>
      </c>
      <c r="W39" s="194"/>
      <c r="X39" s="194"/>
      <c r="Y39" s="194"/>
      <c r="Z39" s="194"/>
      <c r="AA39" s="194"/>
      <c r="AB39" s="194"/>
      <c r="AC39" s="194"/>
      <c r="AD39" s="194"/>
      <c r="AE39" s="194"/>
      <c r="AF39" s="194"/>
      <c r="AG39" s="194"/>
      <c r="AH39" s="194"/>
      <c r="AI39" s="194"/>
      <c r="AJ39" s="194"/>
      <c r="AK39" s="194"/>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row>
    <row r="40" spans="1:61" x14ac:dyDescent="0.3">
      <c r="A40" s="193" t="s">
        <v>380</v>
      </c>
      <c r="B40" s="194">
        <v>0.38500000000000001</v>
      </c>
      <c r="C40" s="194">
        <v>0.66700000000000004</v>
      </c>
      <c r="D40" s="194">
        <v>6</v>
      </c>
      <c r="E40" s="194">
        <v>0.47099999999999997</v>
      </c>
      <c r="F40" s="194">
        <v>0.14299999999999999</v>
      </c>
      <c r="G40" s="194">
        <v>7</v>
      </c>
      <c r="H40" s="194">
        <v>0.308</v>
      </c>
      <c r="I40" s="194">
        <v>0.75</v>
      </c>
      <c r="J40" s="194">
        <v>4</v>
      </c>
      <c r="K40" s="194">
        <v>0.44400000000000001</v>
      </c>
      <c r="L40" s="194">
        <v>0</v>
      </c>
      <c r="M40" s="194">
        <v>2</v>
      </c>
      <c r="N40" s="194">
        <v>0.2</v>
      </c>
      <c r="O40" s="194">
        <v>0.33300000000000002</v>
      </c>
      <c r="P40" s="194">
        <v>3</v>
      </c>
      <c r="Q40" s="194">
        <v>0.41699999999999998</v>
      </c>
      <c r="R40" s="194"/>
      <c r="S40" s="194"/>
      <c r="T40" s="194">
        <v>0.44400000000000001</v>
      </c>
      <c r="U40" s="194">
        <v>0.44400000000000001</v>
      </c>
      <c r="V40" s="194">
        <v>9</v>
      </c>
      <c r="W40" s="194"/>
      <c r="X40" s="194"/>
      <c r="Y40" s="194"/>
      <c r="Z40" s="194"/>
      <c r="AA40" s="194"/>
      <c r="AB40" s="194"/>
      <c r="AC40" s="194"/>
      <c r="AD40" s="194"/>
      <c r="AE40" s="194"/>
      <c r="AF40" s="194"/>
      <c r="AG40" s="194"/>
      <c r="AH40" s="194"/>
      <c r="AI40" s="194"/>
      <c r="AJ40" s="194"/>
      <c r="AK40" s="194"/>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row>
    <row r="41" spans="1:61" x14ac:dyDescent="0.3">
      <c r="A41" s="193" t="s">
        <v>542</v>
      </c>
      <c r="B41" s="194">
        <v>0.64700000000000002</v>
      </c>
      <c r="C41" s="194">
        <v>0.66700000000000004</v>
      </c>
      <c r="D41" s="194">
        <v>12</v>
      </c>
      <c r="E41" s="194">
        <v>0.63600000000000001</v>
      </c>
      <c r="F41" s="194">
        <v>0.6</v>
      </c>
      <c r="G41" s="194">
        <v>5</v>
      </c>
      <c r="H41" s="194">
        <v>0.64700000000000002</v>
      </c>
      <c r="I41" s="194">
        <v>0.6</v>
      </c>
      <c r="J41" s="194">
        <v>5</v>
      </c>
      <c r="K41" s="194">
        <v>0.58799999999999997</v>
      </c>
      <c r="L41" s="194">
        <v>0.71399999999999997</v>
      </c>
      <c r="M41" s="194">
        <v>7</v>
      </c>
      <c r="N41" s="194">
        <v>0.60899999999999999</v>
      </c>
      <c r="O41" s="194">
        <v>0.4</v>
      </c>
      <c r="P41" s="194">
        <v>5</v>
      </c>
      <c r="Q41" s="194">
        <v>0.69199999999999995</v>
      </c>
      <c r="R41" s="194">
        <v>0.63600000000000001</v>
      </c>
      <c r="S41" s="194">
        <v>11</v>
      </c>
      <c r="T41" s="194">
        <v>0.76200000000000001</v>
      </c>
      <c r="U41" s="194">
        <v>0.9</v>
      </c>
      <c r="V41" s="194">
        <v>10</v>
      </c>
      <c r="W41" s="194"/>
      <c r="X41" s="194"/>
      <c r="Y41" s="194"/>
      <c r="Z41" s="194"/>
      <c r="AA41" s="194"/>
      <c r="AB41" s="194"/>
      <c r="AC41" s="194"/>
      <c r="AD41" s="194"/>
      <c r="AE41" s="194"/>
      <c r="AF41" s="194"/>
      <c r="AG41" s="194"/>
      <c r="AH41" s="194"/>
      <c r="AI41" s="194"/>
      <c r="AJ41" s="194"/>
      <c r="AK41" s="194"/>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row>
    <row r="42" spans="1:61" x14ac:dyDescent="0.3">
      <c r="A42" s="193" t="s">
        <v>306</v>
      </c>
      <c r="B42" s="194">
        <v>0.79200000000000004</v>
      </c>
      <c r="C42" s="194">
        <v>0.85399999999999998</v>
      </c>
      <c r="D42" s="194">
        <v>41</v>
      </c>
      <c r="E42" s="194">
        <v>0.745</v>
      </c>
      <c r="F42" s="194">
        <v>0.71</v>
      </c>
      <c r="G42" s="194">
        <v>31</v>
      </c>
      <c r="H42" s="194">
        <v>0.72199999999999998</v>
      </c>
      <c r="I42" s="194">
        <v>0.64700000000000002</v>
      </c>
      <c r="J42" s="194">
        <v>34</v>
      </c>
      <c r="K42" s="194">
        <v>0.77800000000000002</v>
      </c>
      <c r="L42" s="194">
        <v>0.84</v>
      </c>
      <c r="M42" s="194">
        <v>25</v>
      </c>
      <c r="N42" s="194">
        <v>0.82499999999999996</v>
      </c>
      <c r="O42" s="194">
        <v>0.90900000000000003</v>
      </c>
      <c r="P42" s="194">
        <v>22</v>
      </c>
      <c r="Q42" s="194">
        <v>0.80200000000000005</v>
      </c>
      <c r="R42" s="194">
        <v>0.75800000000000001</v>
      </c>
      <c r="S42" s="194">
        <v>33</v>
      </c>
      <c r="T42" s="194">
        <v>0.77</v>
      </c>
      <c r="U42" s="194">
        <v>0.78</v>
      </c>
      <c r="V42" s="194">
        <v>41</v>
      </c>
      <c r="W42" s="194"/>
      <c r="X42" s="194"/>
      <c r="Y42" s="194"/>
      <c r="Z42" s="194"/>
      <c r="AA42" s="194"/>
      <c r="AB42" s="194"/>
      <c r="AC42" s="194"/>
      <c r="AD42" s="194"/>
      <c r="AE42" s="194"/>
      <c r="AF42" s="194"/>
      <c r="AG42" s="194"/>
      <c r="AH42" s="194"/>
      <c r="AI42" s="194"/>
      <c r="AJ42" s="194"/>
      <c r="AK42" s="194"/>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row>
    <row r="43" spans="1:61" x14ac:dyDescent="0.3">
      <c r="A43" s="193" t="s">
        <v>468</v>
      </c>
      <c r="B43" s="194">
        <v>0.78</v>
      </c>
      <c r="C43" s="194">
        <v>0.86199999999999999</v>
      </c>
      <c r="D43" s="194">
        <v>29</v>
      </c>
      <c r="E43" s="194">
        <v>0.77600000000000002</v>
      </c>
      <c r="F43" s="194">
        <v>0.7</v>
      </c>
      <c r="G43" s="194">
        <v>30</v>
      </c>
      <c r="H43" s="194">
        <v>0.71199999999999997</v>
      </c>
      <c r="I43" s="194">
        <v>0.76900000000000002</v>
      </c>
      <c r="J43" s="194">
        <v>26</v>
      </c>
      <c r="K43" s="194">
        <v>0.71399999999999997</v>
      </c>
      <c r="L43" s="194">
        <v>0.66700000000000004</v>
      </c>
      <c r="M43" s="194">
        <v>24</v>
      </c>
      <c r="N43" s="194">
        <v>0.68500000000000005</v>
      </c>
      <c r="O43" s="194">
        <v>0.70399999999999996</v>
      </c>
      <c r="P43" s="194">
        <v>27</v>
      </c>
      <c r="Q43" s="194">
        <v>0.65100000000000002</v>
      </c>
      <c r="R43" s="194">
        <v>0.68200000000000005</v>
      </c>
      <c r="S43" s="194">
        <v>22</v>
      </c>
      <c r="T43" s="194">
        <v>0.627</v>
      </c>
      <c r="U43" s="194">
        <v>0.59499999999999997</v>
      </c>
      <c r="V43" s="194">
        <v>37</v>
      </c>
      <c r="W43" s="194"/>
      <c r="X43" s="194"/>
      <c r="Y43" s="194"/>
      <c r="Z43" s="194"/>
      <c r="AA43" s="194"/>
      <c r="AB43" s="194"/>
      <c r="AC43" s="194"/>
      <c r="AD43" s="194"/>
      <c r="AE43" s="194"/>
      <c r="AF43" s="194"/>
      <c r="AG43" s="194"/>
      <c r="AH43" s="194"/>
      <c r="AI43" s="194"/>
      <c r="AJ43" s="194"/>
      <c r="AK43" s="194"/>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row>
    <row r="44" spans="1:61" x14ac:dyDescent="0.3">
      <c r="A44" s="193" t="s">
        <v>448</v>
      </c>
      <c r="B44" s="194">
        <v>0.41499999999999998</v>
      </c>
      <c r="C44" s="194">
        <v>0.48099999999999998</v>
      </c>
      <c r="D44" s="194">
        <v>27</v>
      </c>
      <c r="E44" s="194">
        <v>0.40899999999999997</v>
      </c>
      <c r="F44" s="194">
        <v>0.34599999999999997</v>
      </c>
      <c r="G44" s="194">
        <v>26</v>
      </c>
      <c r="H44" s="194">
        <v>0.48199999999999998</v>
      </c>
      <c r="I44" s="194">
        <v>0.4</v>
      </c>
      <c r="J44" s="194">
        <v>35</v>
      </c>
      <c r="K44" s="194">
        <v>0.52900000000000003</v>
      </c>
      <c r="L44" s="194">
        <v>0.75</v>
      </c>
      <c r="M44" s="194">
        <v>24</v>
      </c>
      <c r="N44" s="194">
        <v>0.58799999999999997</v>
      </c>
      <c r="O44" s="194">
        <v>0.5</v>
      </c>
      <c r="P44" s="194">
        <v>26</v>
      </c>
      <c r="Q44" s="194">
        <v>0.47699999999999998</v>
      </c>
      <c r="R44" s="194">
        <v>0.5</v>
      </c>
      <c r="S44" s="194">
        <v>18</v>
      </c>
      <c r="T44" s="194">
        <v>0.46200000000000002</v>
      </c>
      <c r="U44" s="194">
        <v>0.42899999999999999</v>
      </c>
      <c r="V44" s="194">
        <v>21</v>
      </c>
      <c r="W44" s="194"/>
      <c r="X44" s="194"/>
      <c r="Y44" s="194"/>
      <c r="Z44" s="194"/>
      <c r="AA44" s="194"/>
      <c r="AB44" s="194"/>
      <c r="AC44" s="194"/>
      <c r="AD44" s="194"/>
      <c r="AE44" s="194"/>
      <c r="AF44" s="194"/>
      <c r="AG44" s="194"/>
      <c r="AH44" s="194"/>
      <c r="AI44" s="194"/>
      <c r="AJ44" s="194"/>
      <c r="AK44" s="194"/>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row>
    <row r="45" spans="1:61" x14ac:dyDescent="0.3">
      <c r="A45" s="193" t="s">
        <v>516</v>
      </c>
      <c r="B45" s="194">
        <v>0.89300000000000002</v>
      </c>
      <c r="C45" s="194">
        <v>0.93</v>
      </c>
      <c r="D45" s="194">
        <v>43</v>
      </c>
      <c r="E45" s="194">
        <v>0.89</v>
      </c>
      <c r="F45" s="194">
        <v>0.84399999999999997</v>
      </c>
      <c r="G45" s="194">
        <v>32</v>
      </c>
      <c r="H45" s="194">
        <v>0.80400000000000005</v>
      </c>
      <c r="I45" s="194">
        <v>0.88</v>
      </c>
      <c r="J45" s="194">
        <v>25</v>
      </c>
      <c r="K45" s="194">
        <v>0.82199999999999995</v>
      </c>
      <c r="L45" s="194">
        <v>0.71399999999999997</v>
      </c>
      <c r="M45" s="194">
        <v>35</v>
      </c>
      <c r="N45" s="194">
        <v>0.80600000000000005</v>
      </c>
      <c r="O45" s="194">
        <v>0.9</v>
      </c>
      <c r="P45" s="194">
        <v>30</v>
      </c>
      <c r="Q45" s="194">
        <v>0.84799999999999998</v>
      </c>
      <c r="R45" s="194">
        <v>0.81599999999999995</v>
      </c>
      <c r="S45" s="194">
        <v>38</v>
      </c>
      <c r="T45" s="194">
        <v>0.82299999999999995</v>
      </c>
      <c r="U45" s="194">
        <v>0.83299999999999996</v>
      </c>
      <c r="V45" s="194">
        <v>24</v>
      </c>
      <c r="W45" s="194"/>
      <c r="X45" s="194"/>
      <c r="Y45" s="194"/>
      <c r="Z45" s="194"/>
      <c r="AA45" s="194"/>
      <c r="AB45" s="194"/>
      <c r="AC45" s="194"/>
      <c r="AD45" s="194"/>
      <c r="AE45" s="194"/>
      <c r="AF45" s="194"/>
      <c r="AG45" s="194"/>
      <c r="AH45" s="194"/>
      <c r="AI45" s="194"/>
      <c r="AJ45" s="194"/>
      <c r="AK45" s="194"/>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row>
    <row r="46" spans="1:61" x14ac:dyDescent="0.3">
      <c r="A46" s="193" t="s">
        <v>462</v>
      </c>
      <c r="B46" s="194">
        <v>0.69399999999999995</v>
      </c>
      <c r="C46" s="194">
        <v>0.75</v>
      </c>
      <c r="D46" s="194">
        <v>20</v>
      </c>
      <c r="E46" s="194">
        <v>0.5</v>
      </c>
      <c r="F46" s="194">
        <v>0.625</v>
      </c>
      <c r="G46" s="194">
        <v>16</v>
      </c>
      <c r="H46" s="194">
        <v>0.46</v>
      </c>
      <c r="I46" s="194">
        <v>0.23100000000000001</v>
      </c>
      <c r="J46" s="194">
        <v>26</v>
      </c>
      <c r="K46" s="194">
        <v>0.48399999999999999</v>
      </c>
      <c r="L46" s="194">
        <v>0.61899999999999999</v>
      </c>
      <c r="M46" s="194">
        <v>21</v>
      </c>
      <c r="N46" s="194">
        <v>0.68600000000000005</v>
      </c>
      <c r="O46" s="194">
        <v>0.70599999999999996</v>
      </c>
      <c r="P46" s="194">
        <v>17</v>
      </c>
      <c r="Q46" s="194">
        <v>0.753</v>
      </c>
      <c r="R46" s="194">
        <v>0.71899999999999997</v>
      </c>
      <c r="S46" s="194">
        <v>32</v>
      </c>
      <c r="T46" s="194">
        <v>0.76700000000000002</v>
      </c>
      <c r="U46" s="194">
        <v>0.82099999999999995</v>
      </c>
      <c r="V46" s="194">
        <v>28</v>
      </c>
      <c r="W46" s="194"/>
      <c r="X46" s="194"/>
      <c r="Y46" s="194"/>
      <c r="Z46" s="194"/>
      <c r="AA46" s="194"/>
      <c r="AB46" s="194"/>
      <c r="AC46" s="194"/>
      <c r="AD46" s="194"/>
      <c r="AE46" s="194"/>
      <c r="AF46" s="194"/>
      <c r="AG46" s="194"/>
      <c r="AH46" s="194"/>
      <c r="AI46" s="194"/>
      <c r="AJ46" s="194"/>
      <c r="AK46" s="194"/>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row>
    <row r="47" spans="1:61" x14ac:dyDescent="0.3">
      <c r="A47" s="193" t="s">
        <v>442</v>
      </c>
      <c r="B47" s="194">
        <v>0.85399999999999998</v>
      </c>
      <c r="C47" s="194">
        <v>0.86699999999999999</v>
      </c>
      <c r="D47" s="194">
        <v>15</v>
      </c>
      <c r="E47" s="194">
        <v>0.80300000000000005</v>
      </c>
      <c r="F47" s="194">
        <v>0.84599999999999997</v>
      </c>
      <c r="G47" s="194">
        <v>26</v>
      </c>
      <c r="H47" s="194">
        <v>0.79700000000000004</v>
      </c>
      <c r="I47" s="194">
        <v>0.7</v>
      </c>
      <c r="J47" s="194">
        <v>20</v>
      </c>
      <c r="K47" s="194">
        <v>0.78</v>
      </c>
      <c r="L47" s="194">
        <v>0.83299999999999996</v>
      </c>
      <c r="M47" s="194">
        <v>18</v>
      </c>
      <c r="N47" s="194">
        <v>0.86699999999999999</v>
      </c>
      <c r="O47" s="194">
        <v>0.83299999999999996</v>
      </c>
      <c r="P47" s="194">
        <v>12</v>
      </c>
      <c r="Q47" s="194">
        <v>0.78</v>
      </c>
      <c r="R47" s="194">
        <v>0.93300000000000005</v>
      </c>
      <c r="S47" s="194">
        <v>15</v>
      </c>
      <c r="T47" s="194">
        <v>0.76300000000000001</v>
      </c>
      <c r="U47" s="194">
        <v>0.65200000000000002</v>
      </c>
      <c r="V47" s="194">
        <v>23</v>
      </c>
      <c r="W47" s="194"/>
      <c r="X47" s="194"/>
      <c r="Y47" s="194"/>
      <c r="Z47" s="194"/>
      <c r="AA47" s="194"/>
      <c r="AB47" s="194"/>
      <c r="AC47" s="194"/>
      <c r="AD47" s="194"/>
      <c r="AE47" s="194"/>
      <c r="AF47" s="194"/>
      <c r="AG47" s="194"/>
      <c r="AH47" s="194"/>
      <c r="AI47" s="194"/>
      <c r="AJ47" s="194"/>
      <c r="AK47" s="194"/>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row>
    <row r="48" spans="1:61" x14ac:dyDescent="0.3">
      <c r="A48" s="193" t="s">
        <v>444</v>
      </c>
      <c r="B48" s="194">
        <v>0.93300000000000005</v>
      </c>
      <c r="C48" s="194">
        <v>0.93100000000000005</v>
      </c>
      <c r="D48" s="194">
        <v>29</v>
      </c>
      <c r="E48" s="194">
        <v>0.879</v>
      </c>
      <c r="F48" s="194">
        <v>0.93799999999999994</v>
      </c>
      <c r="G48" s="194">
        <v>16</v>
      </c>
      <c r="H48" s="194">
        <v>0.879</v>
      </c>
      <c r="I48" s="194">
        <v>0.76200000000000001</v>
      </c>
      <c r="J48" s="194">
        <v>21</v>
      </c>
      <c r="K48" s="194">
        <v>0.879</v>
      </c>
      <c r="L48" s="194">
        <v>0.95199999999999996</v>
      </c>
      <c r="M48" s="194">
        <v>21</v>
      </c>
      <c r="N48" s="194">
        <v>0.92600000000000005</v>
      </c>
      <c r="O48" s="194">
        <v>0.91700000000000004</v>
      </c>
      <c r="P48" s="194">
        <v>24</v>
      </c>
      <c r="Q48" s="194">
        <v>0.92500000000000004</v>
      </c>
      <c r="R48" s="194">
        <v>0.91300000000000003</v>
      </c>
      <c r="S48" s="194">
        <v>23</v>
      </c>
      <c r="T48" s="194">
        <v>0.93</v>
      </c>
      <c r="U48" s="194">
        <v>0.95</v>
      </c>
      <c r="V48" s="194">
        <v>20</v>
      </c>
      <c r="W48" s="194"/>
      <c r="X48" s="194"/>
      <c r="Y48" s="194"/>
      <c r="Z48" s="194"/>
      <c r="AA48" s="194"/>
      <c r="AB48" s="194"/>
      <c r="AC48" s="194"/>
      <c r="AD48" s="194"/>
      <c r="AE48" s="194"/>
      <c r="AF48" s="194"/>
      <c r="AG48" s="194"/>
      <c r="AH48" s="194"/>
      <c r="AI48" s="194"/>
      <c r="AJ48" s="194"/>
      <c r="AK48" s="194"/>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row>
    <row r="49" spans="1:61" x14ac:dyDescent="0.3">
      <c r="A49" s="193" t="s">
        <v>364</v>
      </c>
      <c r="B49" s="194">
        <v>0.29299999999999998</v>
      </c>
      <c r="C49" s="194">
        <v>0.158</v>
      </c>
      <c r="D49" s="194">
        <v>19</v>
      </c>
      <c r="E49" s="194">
        <v>0.246</v>
      </c>
      <c r="F49" s="194">
        <v>0.40899999999999997</v>
      </c>
      <c r="G49" s="194">
        <v>22</v>
      </c>
      <c r="H49" s="194">
        <v>0.24099999999999999</v>
      </c>
      <c r="I49" s="194">
        <v>0.15</v>
      </c>
      <c r="J49" s="194">
        <v>20</v>
      </c>
      <c r="K49" s="194">
        <v>0.224</v>
      </c>
      <c r="L49" s="194">
        <v>0.125</v>
      </c>
      <c r="M49" s="194">
        <v>16</v>
      </c>
      <c r="N49" s="194">
        <v>0.222</v>
      </c>
      <c r="O49" s="194">
        <v>0.36399999999999999</v>
      </c>
      <c r="P49" s="194">
        <v>22</v>
      </c>
      <c r="Q49" s="194">
        <v>0.32</v>
      </c>
      <c r="R49" s="194">
        <v>0.16</v>
      </c>
      <c r="S49" s="194">
        <v>25</v>
      </c>
      <c r="T49" s="194">
        <v>0.30199999999999999</v>
      </c>
      <c r="U49" s="194">
        <v>0.42899999999999999</v>
      </c>
      <c r="V49" s="194">
        <v>28</v>
      </c>
      <c r="W49" s="194"/>
      <c r="X49" s="194"/>
      <c r="Y49" s="194"/>
      <c r="Z49" s="194"/>
      <c r="AA49" s="194"/>
      <c r="AB49" s="194"/>
      <c r="AC49" s="194"/>
      <c r="AD49" s="194"/>
      <c r="AE49" s="194"/>
      <c r="AF49" s="194"/>
      <c r="AG49" s="194"/>
      <c r="AH49" s="194"/>
      <c r="AI49" s="194"/>
      <c r="AJ49" s="194"/>
      <c r="AK49" s="194"/>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row>
    <row r="50" spans="1:61" x14ac:dyDescent="0.3">
      <c r="A50" s="193" t="s">
        <v>392</v>
      </c>
      <c r="B50" s="194">
        <v>0.42099999999999999</v>
      </c>
      <c r="C50" s="194">
        <v>0.33300000000000002</v>
      </c>
      <c r="D50" s="194">
        <v>9</v>
      </c>
      <c r="E50" s="194">
        <v>0.435</v>
      </c>
      <c r="F50" s="194">
        <v>0.5</v>
      </c>
      <c r="G50" s="194">
        <v>10</v>
      </c>
      <c r="H50" s="194">
        <v>0.45500000000000002</v>
      </c>
      <c r="I50" s="194">
        <v>0.5</v>
      </c>
      <c r="J50" s="194">
        <v>4</v>
      </c>
      <c r="K50" s="194">
        <v>0.41199999999999998</v>
      </c>
      <c r="L50" s="194">
        <v>0.375</v>
      </c>
      <c r="M50" s="194">
        <v>8</v>
      </c>
      <c r="N50" s="194">
        <v>0.35</v>
      </c>
      <c r="O50" s="194">
        <v>0.4</v>
      </c>
      <c r="P50" s="194">
        <v>5</v>
      </c>
      <c r="Q50" s="194">
        <v>0.3</v>
      </c>
      <c r="R50" s="194">
        <v>0.28599999999999998</v>
      </c>
      <c r="S50" s="194">
        <v>7</v>
      </c>
      <c r="T50" s="194">
        <v>0.26700000000000002</v>
      </c>
      <c r="U50" s="194">
        <v>0.25</v>
      </c>
      <c r="V50" s="194">
        <v>8</v>
      </c>
      <c r="W50" s="194"/>
      <c r="X50" s="194"/>
      <c r="Y50" s="194"/>
      <c r="Z50" s="194"/>
      <c r="AA50" s="194"/>
      <c r="AB50" s="194"/>
      <c r="AC50" s="194"/>
      <c r="AD50" s="194"/>
      <c r="AE50" s="194"/>
      <c r="AF50" s="194"/>
      <c r="AG50" s="194"/>
      <c r="AH50" s="194"/>
      <c r="AI50" s="194"/>
      <c r="AJ50" s="194"/>
      <c r="AK50" s="194"/>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row>
    <row r="51" spans="1:61" x14ac:dyDescent="0.3">
      <c r="A51" s="193" t="s">
        <v>325</v>
      </c>
      <c r="B51" s="194">
        <v>0</v>
      </c>
      <c r="C51" s="194"/>
      <c r="D51" s="194"/>
      <c r="E51" s="194">
        <v>0</v>
      </c>
      <c r="F51" s="194">
        <v>0</v>
      </c>
      <c r="G51" s="194">
        <v>3</v>
      </c>
      <c r="H51" s="194">
        <v>0</v>
      </c>
      <c r="I51" s="194">
        <v>0</v>
      </c>
      <c r="J51" s="194">
        <v>3</v>
      </c>
      <c r="K51" s="194">
        <v>0.14299999999999999</v>
      </c>
      <c r="L51" s="194">
        <v>0</v>
      </c>
      <c r="M51" s="194">
        <v>1</v>
      </c>
      <c r="N51" s="194">
        <v>0.375</v>
      </c>
      <c r="O51" s="194">
        <v>0.33300000000000002</v>
      </c>
      <c r="P51" s="194">
        <v>3</v>
      </c>
      <c r="Q51" s="194">
        <v>0.3</v>
      </c>
      <c r="R51" s="194">
        <v>0.5</v>
      </c>
      <c r="S51" s="194">
        <v>4</v>
      </c>
      <c r="T51" s="194">
        <v>0.28599999999999998</v>
      </c>
      <c r="U51" s="194">
        <v>0</v>
      </c>
      <c r="V51" s="194">
        <v>3</v>
      </c>
      <c r="W51" s="194"/>
      <c r="X51" s="194"/>
      <c r="Y51" s="194"/>
      <c r="Z51" s="194"/>
      <c r="AA51" s="194"/>
      <c r="AB51" s="194"/>
      <c r="AC51" s="194"/>
      <c r="AD51" s="194"/>
      <c r="AE51" s="194"/>
      <c r="AF51" s="194"/>
      <c r="AG51" s="194"/>
      <c r="AH51" s="194"/>
      <c r="AI51" s="194"/>
      <c r="AJ51" s="194"/>
      <c r="AK51" s="194"/>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row>
    <row r="52" spans="1:61" x14ac:dyDescent="0.3">
      <c r="A52" s="193" t="s">
        <v>478</v>
      </c>
      <c r="B52" s="194">
        <v>0.59599999999999997</v>
      </c>
      <c r="C52" s="194">
        <v>0.54200000000000004</v>
      </c>
      <c r="D52" s="194">
        <v>24</v>
      </c>
      <c r="E52" s="194">
        <v>0.65700000000000003</v>
      </c>
      <c r="F52" s="194">
        <v>0.64300000000000002</v>
      </c>
      <c r="G52" s="194">
        <v>28</v>
      </c>
      <c r="H52" s="194">
        <v>0.72699999999999998</v>
      </c>
      <c r="I52" s="194">
        <v>0.83299999999999996</v>
      </c>
      <c r="J52" s="194">
        <v>18</v>
      </c>
      <c r="K52" s="194">
        <v>0.78400000000000003</v>
      </c>
      <c r="L52" s="194">
        <v>0.75</v>
      </c>
      <c r="M52" s="194">
        <v>20</v>
      </c>
      <c r="N52" s="194">
        <v>0.69799999999999995</v>
      </c>
      <c r="O52" s="194">
        <v>0.76900000000000002</v>
      </c>
      <c r="P52" s="194">
        <v>13</v>
      </c>
      <c r="Q52" s="194">
        <v>0.69599999999999995</v>
      </c>
      <c r="R52" s="194">
        <v>0.6</v>
      </c>
      <c r="S52" s="194">
        <v>20</v>
      </c>
      <c r="T52" s="194">
        <v>0.67400000000000004</v>
      </c>
      <c r="U52" s="194">
        <v>0.73899999999999999</v>
      </c>
      <c r="V52" s="194">
        <v>23</v>
      </c>
      <c r="W52" s="194"/>
      <c r="X52" s="194"/>
      <c r="Y52" s="194"/>
      <c r="Z52" s="194"/>
      <c r="AA52" s="194"/>
      <c r="AB52" s="194"/>
      <c r="AC52" s="194"/>
      <c r="AD52" s="194"/>
      <c r="AE52" s="194"/>
      <c r="AF52" s="194"/>
      <c r="AG52" s="194"/>
      <c r="AH52" s="194"/>
      <c r="AI52" s="194"/>
      <c r="AJ52" s="194"/>
      <c r="AK52" s="194"/>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row>
    <row r="53" spans="1:61" x14ac:dyDescent="0.3">
      <c r="A53" s="193" t="s">
        <v>474</v>
      </c>
      <c r="B53" s="194">
        <v>0.68</v>
      </c>
      <c r="C53" s="194">
        <v>0.53800000000000003</v>
      </c>
      <c r="D53" s="194">
        <v>13</v>
      </c>
      <c r="E53" s="194">
        <v>0.72199999999999998</v>
      </c>
      <c r="F53" s="194">
        <v>0.83299999999999996</v>
      </c>
      <c r="G53" s="194">
        <v>12</v>
      </c>
      <c r="H53" s="194">
        <v>0.8</v>
      </c>
      <c r="I53" s="194">
        <v>0.81799999999999995</v>
      </c>
      <c r="J53" s="194">
        <v>11</v>
      </c>
      <c r="K53" s="194">
        <v>0.67600000000000005</v>
      </c>
      <c r="L53" s="194">
        <v>0.75</v>
      </c>
      <c r="M53" s="194">
        <v>12</v>
      </c>
      <c r="N53" s="194">
        <v>0.58099999999999996</v>
      </c>
      <c r="O53" s="194">
        <v>0.45500000000000002</v>
      </c>
      <c r="P53" s="194">
        <v>11</v>
      </c>
      <c r="Q53" s="194">
        <v>0.5</v>
      </c>
      <c r="R53" s="194">
        <v>0.5</v>
      </c>
      <c r="S53" s="194">
        <v>8</v>
      </c>
      <c r="T53" s="194">
        <v>0.53300000000000003</v>
      </c>
      <c r="U53" s="194">
        <v>0.57099999999999995</v>
      </c>
      <c r="V53" s="194">
        <v>7</v>
      </c>
      <c r="W53" s="194"/>
      <c r="X53" s="194"/>
      <c r="Y53" s="194"/>
      <c r="Z53" s="194"/>
      <c r="AA53" s="194"/>
      <c r="AB53" s="194"/>
      <c r="AC53" s="194"/>
      <c r="AD53" s="194"/>
      <c r="AE53" s="194"/>
      <c r="AF53" s="194"/>
      <c r="AG53" s="194"/>
      <c r="AH53" s="194"/>
      <c r="AI53" s="194"/>
      <c r="AJ53" s="194"/>
      <c r="AK53" s="194"/>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row>
    <row r="54" spans="1:61" x14ac:dyDescent="0.3">
      <c r="A54" s="193" t="s">
        <v>532</v>
      </c>
      <c r="B54" s="194">
        <v>0.875</v>
      </c>
      <c r="C54" s="194">
        <v>0.88900000000000001</v>
      </c>
      <c r="D54" s="194">
        <v>27</v>
      </c>
      <c r="E54" s="194">
        <v>0.78400000000000003</v>
      </c>
      <c r="F54" s="194">
        <v>0.85699999999999998</v>
      </c>
      <c r="G54" s="194">
        <v>21</v>
      </c>
      <c r="H54" s="194">
        <v>0.72899999999999998</v>
      </c>
      <c r="I54" s="194">
        <v>0.67500000000000004</v>
      </c>
      <c r="J54" s="194">
        <v>40</v>
      </c>
      <c r="K54" s="194">
        <v>0.71599999999999997</v>
      </c>
      <c r="L54" s="194">
        <v>0.70799999999999996</v>
      </c>
      <c r="M54" s="194">
        <v>24</v>
      </c>
      <c r="N54" s="194">
        <v>0.81499999999999995</v>
      </c>
      <c r="O54" s="194">
        <v>0.82399999999999995</v>
      </c>
      <c r="P54" s="194">
        <v>17</v>
      </c>
      <c r="Q54" s="194">
        <v>0.75800000000000001</v>
      </c>
      <c r="R54" s="194">
        <v>0.91700000000000004</v>
      </c>
      <c r="S54" s="194">
        <v>24</v>
      </c>
      <c r="T54" s="194">
        <v>0.73499999999999999</v>
      </c>
      <c r="U54" s="194">
        <v>0.56000000000000005</v>
      </c>
      <c r="V54" s="194">
        <v>25</v>
      </c>
      <c r="W54" s="194"/>
      <c r="X54" s="194"/>
      <c r="Y54" s="194"/>
      <c r="Z54" s="194"/>
      <c r="AA54" s="194"/>
      <c r="AB54" s="194"/>
      <c r="AC54" s="194"/>
      <c r="AD54" s="194"/>
      <c r="AE54" s="194"/>
      <c r="AF54" s="194"/>
      <c r="AG54" s="194"/>
      <c r="AH54" s="194"/>
      <c r="AI54" s="194"/>
      <c r="AJ54" s="194"/>
      <c r="AK54" s="194"/>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row>
    <row r="55" spans="1:61" x14ac:dyDescent="0.3">
      <c r="A55" s="193" t="s">
        <v>429</v>
      </c>
      <c r="B55" s="194">
        <v>0.61</v>
      </c>
      <c r="C55" s="194">
        <v>0.5</v>
      </c>
      <c r="D55" s="194">
        <v>20</v>
      </c>
      <c r="E55" s="194">
        <v>0.621</v>
      </c>
      <c r="F55" s="194">
        <v>0.71399999999999997</v>
      </c>
      <c r="G55" s="194">
        <v>21</v>
      </c>
      <c r="H55" s="194">
        <v>0.63500000000000001</v>
      </c>
      <c r="I55" s="194">
        <v>0.64</v>
      </c>
      <c r="J55" s="194">
        <v>25</v>
      </c>
      <c r="K55" s="194">
        <v>0.52400000000000002</v>
      </c>
      <c r="L55" s="194">
        <v>0.52900000000000003</v>
      </c>
      <c r="M55" s="194">
        <v>17</v>
      </c>
      <c r="N55" s="194">
        <v>0.52400000000000002</v>
      </c>
      <c r="O55" s="194">
        <v>0.38100000000000001</v>
      </c>
      <c r="P55" s="194">
        <v>21</v>
      </c>
      <c r="Q55" s="194">
        <v>0.57099999999999995</v>
      </c>
      <c r="R55" s="194">
        <v>0.64</v>
      </c>
      <c r="S55" s="194">
        <v>25</v>
      </c>
      <c r="T55" s="194">
        <v>0.65300000000000002</v>
      </c>
      <c r="U55" s="194">
        <v>0.66700000000000004</v>
      </c>
      <c r="V55" s="194">
        <v>24</v>
      </c>
      <c r="W55" s="194"/>
      <c r="X55" s="194"/>
      <c r="Y55" s="194"/>
      <c r="Z55" s="194"/>
      <c r="AA55" s="194"/>
      <c r="AB55" s="194"/>
      <c r="AC55" s="194"/>
      <c r="AD55" s="194"/>
      <c r="AE55" s="194"/>
      <c r="AF55" s="194"/>
      <c r="AG55" s="194"/>
      <c r="AH55" s="194"/>
      <c r="AI55" s="194"/>
      <c r="AJ55" s="194"/>
      <c r="AK55" s="194"/>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row>
    <row r="56" spans="1:61" x14ac:dyDescent="0.3">
      <c r="A56" s="193" t="s">
        <v>339</v>
      </c>
      <c r="B56" s="194">
        <v>0.92900000000000005</v>
      </c>
      <c r="C56" s="194">
        <v>0.88900000000000001</v>
      </c>
      <c r="D56" s="194">
        <v>9</v>
      </c>
      <c r="E56" s="194">
        <v>0.78900000000000003</v>
      </c>
      <c r="F56" s="194">
        <v>1</v>
      </c>
      <c r="G56" s="194">
        <v>5</v>
      </c>
      <c r="H56" s="194">
        <v>0.53800000000000003</v>
      </c>
      <c r="I56" s="194">
        <v>0.4</v>
      </c>
      <c r="J56" s="194">
        <v>5</v>
      </c>
      <c r="K56" s="194">
        <v>0.25</v>
      </c>
      <c r="L56" s="194">
        <v>0</v>
      </c>
      <c r="M56" s="194">
        <v>3</v>
      </c>
      <c r="N56" s="194">
        <v>0.33300000000000002</v>
      </c>
      <c r="O56" s="194">
        <v>0.25</v>
      </c>
      <c r="P56" s="194">
        <v>4</v>
      </c>
      <c r="Q56" s="194">
        <v>0.55600000000000005</v>
      </c>
      <c r="R56" s="194">
        <v>1</v>
      </c>
      <c r="S56" s="194">
        <v>2</v>
      </c>
      <c r="T56" s="194">
        <v>0.8</v>
      </c>
      <c r="U56" s="194">
        <v>0.66700000000000004</v>
      </c>
      <c r="V56" s="194">
        <v>3</v>
      </c>
      <c r="W56" s="194"/>
      <c r="X56" s="194"/>
      <c r="Y56" s="194"/>
      <c r="Z56" s="194"/>
      <c r="AA56" s="194"/>
      <c r="AB56" s="194"/>
      <c r="AC56" s="194"/>
      <c r="AD56" s="194"/>
      <c r="AE56" s="194"/>
      <c r="AF56" s="194"/>
      <c r="AG56" s="194"/>
      <c r="AH56" s="194"/>
      <c r="AI56" s="194"/>
      <c r="AJ56" s="194"/>
      <c r="AK56" s="194"/>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row>
    <row r="57" spans="1:61" x14ac:dyDescent="0.3">
      <c r="A57" s="193" t="s">
        <v>318</v>
      </c>
      <c r="B57" s="194">
        <v>1</v>
      </c>
      <c r="C57" s="194">
        <v>1</v>
      </c>
      <c r="D57" s="194">
        <v>5</v>
      </c>
      <c r="E57" s="194">
        <v>0.88900000000000001</v>
      </c>
      <c r="F57" s="194">
        <v>1</v>
      </c>
      <c r="G57" s="194">
        <v>7</v>
      </c>
      <c r="H57" s="194">
        <v>0.83299999999999996</v>
      </c>
      <c r="I57" s="194">
        <v>0.66700000000000004</v>
      </c>
      <c r="J57" s="194">
        <v>6</v>
      </c>
      <c r="K57" s="194">
        <v>0.76900000000000002</v>
      </c>
      <c r="L57" s="194">
        <v>0.8</v>
      </c>
      <c r="M57" s="194">
        <v>5</v>
      </c>
      <c r="N57" s="194">
        <v>0.95699999999999996</v>
      </c>
      <c r="O57" s="194">
        <v>1</v>
      </c>
      <c r="P57" s="194">
        <v>2</v>
      </c>
      <c r="Q57" s="194">
        <v>0.96199999999999997</v>
      </c>
      <c r="R57" s="194">
        <v>1</v>
      </c>
      <c r="S57" s="194">
        <v>16</v>
      </c>
      <c r="T57" s="194">
        <v>0.95799999999999996</v>
      </c>
      <c r="U57" s="194">
        <v>0.875</v>
      </c>
      <c r="V57" s="194">
        <v>8</v>
      </c>
      <c r="W57" s="194"/>
      <c r="X57" s="194"/>
      <c r="Y57" s="194"/>
      <c r="Z57" s="194"/>
      <c r="AA57" s="194"/>
      <c r="AB57" s="194"/>
      <c r="AC57" s="194"/>
      <c r="AD57" s="194"/>
      <c r="AE57" s="194"/>
      <c r="AF57" s="194"/>
      <c r="AG57" s="194"/>
      <c r="AH57" s="194"/>
      <c r="AI57" s="194"/>
      <c r="AJ57" s="194"/>
      <c r="AK57" s="194"/>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row>
    <row r="58" spans="1:61" x14ac:dyDescent="0.3">
      <c r="A58" s="193" t="s">
        <v>384</v>
      </c>
      <c r="B58" s="194">
        <v>0.32200000000000001</v>
      </c>
      <c r="C58" s="194">
        <v>0.28000000000000003</v>
      </c>
      <c r="D58" s="194">
        <v>25</v>
      </c>
      <c r="E58" s="194">
        <v>0.29499999999999998</v>
      </c>
      <c r="F58" s="194">
        <v>0.35299999999999998</v>
      </c>
      <c r="G58" s="194">
        <v>34</v>
      </c>
      <c r="H58" s="194">
        <v>0.29399999999999998</v>
      </c>
      <c r="I58" s="194">
        <v>0.24099999999999999</v>
      </c>
      <c r="J58" s="194">
        <v>29</v>
      </c>
      <c r="K58" s="194">
        <v>0.27800000000000002</v>
      </c>
      <c r="L58" s="194">
        <v>0.27300000000000002</v>
      </c>
      <c r="M58" s="194">
        <v>22</v>
      </c>
      <c r="N58" s="194">
        <v>0.29899999999999999</v>
      </c>
      <c r="O58" s="194">
        <v>0.33300000000000002</v>
      </c>
      <c r="P58" s="194">
        <v>21</v>
      </c>
      <c r="Q58" s="194">
        <v>0.34200000000000003</v>
      </c>
      <c r="R58" s="194">
        <v>0.29199999999999998</v>
      </c>
      <c r="S58" s="194">
        <v>24</v>
      </c>
      <c r="T58" s="194">
        <v>0.34599999999999997</v>
      </c>
      <c r="U58" s="194">
        <v>0.39300000000000002</v>
      </c>
      <c r="V58" s="194">
        <v>28</v>
      </c>
      <c r="W58" s="194"/>
      <c r="X58" s="194"/>
      <c r="Y58" s="194"/>
      <c r="Z58" s="194"/>
      <c r="AA58" s="194"/>
      <c r="AB58" s="194"/>
      <c r="AC58" s="194"/>
      <c r="AD58" s="194"/>
      <c r="AE58" s="194"/>
      <c r="AF58" s="194"/>
      <c r="AG58" s="194"/>
      <c r="AH58" s="194"/>
      <c r="AI58" s="194"/>
      <c r="AJ58" s="194"/>
      <c r="AK58" s="194"/>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row>
    <row r="59" spans="1:61" x14ac:dyDescent="0.3">
      <c r="A59" s="193" t="s">
        <v>464</v>
      </c>
      <c r="B59" s="194">
        <v>0.313</v>
      </c>
      <c r="C59" s="194">
        <v>0</v>
      </c>
      <c r="D59" s="194">
        <v>3</v>
      </c>
      <c r="E59" s="194">
        <v>0.17899999999999999</v>
      </c>
      <c r="F59" s="194">
        <v>0.38500000000000001</v>
      </c>
      <c r="G59" s="194">
        <v>13</v>
      </c>
      <c r="H59" s="194">
        <v>0.154</v>
      </c>
      <c r="I59" s="194">
        <v>0</v>
      </c>
      <c r="J59" s="194">
        <v>12</v>
      </c>
      <c r="K59" s="194">
        <v>0.108</v>
      </c>
      <c r="L59" s="194">
        <v>7.0999999999999994E-2</v>
      </c>
      <c r="M59" s="194">
        <v>14</v>
      </c>
      <c r="N59" s="194">
        <v>0.17100000000000001</v>
      </c>
      <c r="O59" s="194">
        <v>0.27300000000000002</v>
      </c>
      <c r="P59" s="194">
        <v>11</v>
      </c>
      <c r="Q59" s="194">
        <v>0.19400000000000001</v>
      </c>
      <c r="R59" s="194">
        <v>0.2</v>
      </c>
      <c r="S59" s="194">
        <v>10</v>
      </c>
      <c r="T59" s="194">
        <v>0.15</v>
      </c>
      <c r="U59" s="194">
        <v>0.1</v>
      </c>
      <c r="V59" s="194">
        <v>10</v>
      </c>
      <c r="W59" s="194"/>
      <c r="X59" s="194"/>
      <c r="Y59" s="194"/>
      <c r="Z59" s="194"/>
      <c r="AA59" s="194"/>
      <c r="AB59" s="194"/>
      <c r="AC59" s="194"/>
      <c r="AD59" s="194"/>
      <c r="AE59" s="194"/>
      <c r="AF59" s="194"/>
      <c r="AG59" s="194"/>
      <c r="AH59" s="194"/>
      <c r="AI59" s="194"/>
      <c r="AJ59" s="194"/>
      <c r="AK59" s="194"/>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row>
    <row r="60" spans="1:61" x14ac:dyDescent="0.3">
      <c r="A60" s="193" t="s">
        <v>439</v>
      </c>
      <c r="B60" s="194">
        <v>0.76300000000000001</v>
      </c>
      <c r="C60" s="194">
        <v>0.77800000000000002</v>
      </c>
      <c r="D60" s="194">
        <v>36</v>
      </c>
      <c r="E60" s="194">
        <v>0.75900000000000001</v>
      </c>
      <c r="F60" s="194">
        <v>0.73899999999999999</v>
      </c>
      <c r="G60" s="194">
        <v>23</v>
      </c>
      <c r="H60" s="194">
        <v>0.74</v>
      </c>
      <c r="I60" s="194">
        <v>0.75</v>
      </c>
      <c r="J60" s="194">
        <v>28</v>
      </c>
      <c r="K60" s="194">
        <v>0.70799999999999996</v>
      </c>
      <c r="L60" s="194">
        <v>0.72699999999999998</v>
      </c>
      <c r="M60" s="194">
        <v>22</v>
      </c>
      <c r="N60" s="194">
        <v>0.74399999999999999</v>
      </c>
      <c r="O60" s="194">
        <v>0.63600000000000001</v>
      </c>
      <c r="P60" s="194">
        <v>22</v>
      </c>
      <c r="Q60" s="194">
        <v>0.82099999999999995</v>
      </c>
      <c r="R60" s="194">
        <v>0.82399999999999995</v>
      </c>
      <c r="S60" s="194">
        <v>34</v>
      </c>
      <c r="T60" s="194">
        <v>0.877</v>
      </c>
      <c r="U60" s="194">
        <v>0.92300000000000004</v>
      </c>
      <c r="V60" s="194">
        <v>39</v>
      </c>
      <c r="W60" s="194"/>
      <c r="X60" s="194"/>
      <c r="Y60" s="194"/>
      <c r="Z60" s="194"/>
      <c r="AA60" s="194"/>
      <c r="AB60" s="194"/>
      <c r="AC60" s="194"/>
      <c r="AD60" s="194"/>
      <c r="AE60" s="194"/>
      <c r="AF60" s="194"/>
      <c r="AG60" s="194"/>
      <c r="AH60" s="194"/>
      <c r="AI60" s="194"/>
      <c r="AJ60" s="194"/>
      <c r="AK60" s="194"/>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row>
    <row r="61" spans="1:61" x14ac:dyDescent="0.3">
      <c r="A61" s="193" t="s">
        <v>522</v>
      </c>
      <c r="B61" s="194">
        <v>0.66700000000000004</v>
      </c>
      <c r="C61" s="194">
        <v>0.66700000000000004</v>
      </c>
      <c r="D61" s="194">
        <v>9</v>
      </c>
      <c r="E61" s="194">
        <v>0.69399999999999995</v>
      </c>
      <c r="F61" s="194">
        <v>0.66700000000000004</v>
      </c>
      <c r="G61" s="194">
        <v>12</v>
      </c>
      <c r="H61" s="194">
        <v>0.81399999999999995</v>
      </c>
      <c r="I61" s="194">
        <v>0.73299999999999998</v>
      </c>
      <c r="J61" s="194">
        <v>15</v>
      </c>
      <c r="K61" s="194">
        <v>0.82599999999999996</v>
      </c>
      <c r="L61" s="194">
        <v>1</v>
      </c>
      <c r="M61" s="194">
        <v>16</v>
      </c>
      <c r="N61" s="194">
        <v>0.83299999999999996</v>
      </c>
      <c r="O61" s="194">
        <v>0.73299999999999998</v>
      </c>
      <c r="P61" s="194">
        <v>15</v>
      </c>
      <c r="Q61" s="194">
        <v>0.76700000000000002</v>
      </c>
      <c r="R61" s="194">
        <v>0.72699999999999998</v>
      </c>
      <c r="S61" s="194">
        <v>11</v>
      </c>
      <c r="T61" s="194">
        <v>0.78600000000000003</v>
      </c>
      <c r="U61" s="194">
        <v>0.82399999999999995</v>
      </c>
      <c r="V61" s="194">
        <v>17</v>
      </c>
      <c r="W61" s="194"/>
      <c r="X61" s="194"/>
      <c r="Y61" s="194"/>
      <c r="Z61" s="194"/>
      <c r="AA61" s="194"/>
      <c r="AB61" s="194"/>
      <c r="AC61" s="194"/>
      <c r="AD61" s="194"/>
      <c r="AE61" s="194"/>
      <c r="AF61" s="194"/>
      <c r="AG61" s="194"/>
      <c r="AH61" s="194"/>
      <c r="AI61" s="194"/>
      <c r="AJ61" s="194"/>
      <c r="AK61" s="194"/>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row>
    <row r="62" spans="1:61" x14ac:dyDescent="0.3">
      <c r="A62" s="193" t="s">
        <v>508</v>
      </c>
      <c r="B62" s="194">
        <v>0</v>
      </c>
      <c r="C62" s="194">
        <v>0</v>
      </c>
      <c r="D62" s="194">
        <v>3</v>
      </c>
      <c r="E62" s="194">
        <v>0.125</v>
      </c>
      <c r="F62" s="194">
        <v>0</v>
      </c>
      <c r="G62" s="194">
        <v>2</v>
      </c>
      <c r="H62" s="194">
        <v>0.33300000000000002</v>
      </c>
      <c r="I62" s="194">
        <v>0.33300000000000002</v>
      </c>
      <c r="J62" s="194">
        <v>3</v>
      </c>
      <c r="K62" s="194">
        <v>0.25</v>
      </c>
      <c r="L62" s="194">
        <v>1</v>
      </c>
      <c r="M62" s="194">
        <v>1</v>
      </c>
      <c r="N62" s="194">
        <v>0.16700000000000001</v>
      </c>
      <c r="O62" s="194">
        <v>0</v>
      </c>
      <c r="P62" s="194">
        <v>4</v>
      </c>
      <c r="Q62" s="194">
        <v>0</v>
      </c>
      <c r="R62" s="194">
        <v>0</v>
      </c>
      <c r="S62" s="194">
        <v>1</v>
      </c>
      <c r="T62" s="194">
        <v>0</v>
      </c>
      <c r="U62" s="194">
        <v>0</v>
      </c>
      <c r="V62" s="194">
        <v>1</v>
      </c>
      <c r="W62" s="194"/>
      <c r="X62" s="194"/>
      <c r="Y62" s="194"/>
      <c r="Z62" s="194"/>
      <c r="AA62" s="194"/>
      <c r="AB62" s="194"/>
      <c r="AC62" s="194"/>
      <c r="AD62" s="194"/>
      <c r="AE62" s="194"/>
      <c r="AF62" s="194"/>
      <c r="AG62" s="194"/>
      <c r="AH62" s="194"/>
      <c r="AI62" s="194"/>
      <c r="AJ62" s="194"/>
      <c r="AK62" s="194"/>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row>
    <row r="63" spans="1:61" x14ac:dyDescent="0.3">
      <c r="A63" s="193" t="s">
        <v>506</v>
      </c>
      <c r="B63" s="194">
        <v>0.59199999999999997</v>
      </c>
      <c r="C63" s="194">
        <v>0.6</v>
      </c>
      <c r="D63" s="194">
        <v>25</v>
      </c>
      <c r="E63" s="194">
        <v>0.56499999999999995</v>
      </c>
      <c r="F63" s="194">
        <v>0.58299999999999996</v>
      </c>
      <c r="G63" s="194">
        <v>24</v>
      </c>
      <c r="H63" s="194">
        <v>0.55400000000000005</v>
      </c>
      <c r="I63" s="194">
        <v>0.5</v>
      </c>
      <c r="J63" s="194">
        <v>20</v>
      </c>
      <c r="K63" s="194">
        <v>0.56899999999999995</v>
      </c>
      <c r="L63" s="194">
        <v>0.56699999999999995</v>
      </c>
      <c r="M63" s="194">
        <v>30</v>
      </c>
      <c r="N63" s="194">
        <v>0.63500000000000001</v>
      </c>
      <c r="O63" s="194">
        <v>0.66700000000000004</v>
      </c>
      <c r="P63" s="194">
        <v>15</v>
      </c>
      <c r="Q63" s="194">
        <v>0.64900000000000002</v>
      </c>
      <c r="R63" s="194">
        <v>0.72199999999999998</v>
      </c>
      <c r="S63" s="194">
        <v>18</v>
      </c>
      <c r="T63" s="194">
        <v>0.64300000000000002</v>
      </c>
      <c r="U63" s="194">
        <v>0.58299999999999996</v>
      </c>
      <c r="V63" s="194">
        <v>24</v>
      </c>
      <c r="W63" s="194"/>
      <c r="X63" s="194"/>
      <c r="Y63" s="194"/>
      <c r="Z63" s="194"/>
      <c r="AA63" s="194"/>
      <c r="AB63" s="194"/>
      <c r="AC63" s="194"/>
      <c r="AD63" s="194"/>
      <c r="AE63" s="194"/>
      <c r="AF63" s="194"/>
      <c r="AG63" s="194"/>
      <c r="AH63" s="194"/>
      <c r="AI63" s="194"/>
      <c r="AJ63" s="194"/>
      <c r="AK63" s="194"/>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row>
    <row r="64" spans="1:61" x14ac:dyDescent="0.3">
      <c r="A64" s="193" t="s">
        <v>550</v>
      </c>
      <c r="B64" s="194">
        <v>0.85699999999999998</v>
      </c>
      <c r="C64" s="194">
        <v>0.8</v>
      </c>
      <c r="D64" s="194">
        <v>5</v>
      </c>
      <c r="E64" s="194">
        <v>0.6</v>
      </c>
      <c r="F64" s="194">
        <v>1</v>
      </c>
      <c r="G64" s="194">
        <v>2</v>
      </c>
      <c r="H64" s="194">
        <v>0.52600000000000002</v>
      </c>
      <c r="I64" s="194">
        <v>0.375</v>
      </c>
      <c r="J64" s="194">
        <v>8</v>
      </c>
      <c r="K64" s="194">
        <v>0.54200000000000004</v>
      </c>
      <c r="L64" s="194">
        <v>0.55600000000000005</v>
      </c>
      <c r="M64" s="194">
        <v>9</v>
      </c>
      <c r="N64" s="194">
        <v>0.58799999999999997</v>
      </c>
      <c r="O64" s="194">
        <v>0.71399999999999997</v>
      </c>
      <c r="P64" s="194">
        <v>7</v>
      </c>
      <c r="Q64" s="194">
        <v>0.76900000000000002</v>
      </c>
      <c r="R64" s="194">
        <v>0</v>
      </c>
      <c r="S64" s="194">
        <v>1</v>
      </c>
      <c r="T64" s="194">
        <v>0.83299999999999996</v>
      </c>
      <c r="U64" s="194">
        <v>1</v>
      </c>
      <c r="V64" s="194">
        <v>5</v>
      </c>
      <c r="W64" s="194"/>
      <c r="X64" s="194"/>
      <c r="Y64" s="194"/>
      <c r="Z64" s="194"/>
      <c r="AA64" s="194"/>
      <c r="AB64" s="194"/>
      <c r="AC64" s="194"/>
      <c r="AD64" s="194"/>
      <c r="AE64" s="194"/>
      <c r="AF64" s="194"/>
      <c r="AG64" s="194"/>
      <c r="AH64" s="194"/>
      <c r="AI64" s="194"/>
      <c r="AJ64" s="194"/>
      <c r="AK64" s="194"/>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row>
    <row r="65" spans="1:61" x14ac:dyDescent="0.3">
      <c r="A65" s="193" t="s">
        <v>356</v>
      </c>
      <c r="B65" s="194">
        <v>0.66700000000000004</v>
      </c>
      <c r="C65" s="194">
        <v>0.375</v>
      </c>
      <c r="D65" s="194">
        <v>8</v>
      </c>
      <c r="E65" s="194">
        <v>0.625</v>
      </c>
      <c r="F65" s="194">
        <v>0.9</v>
      </c>
      <c r="G65" s="194">
        <v>10</v>
      </c>
      <c r="H65" s="194">
        <v>0.82599999999999996</v>
      </c>
      <c r="I65" s="194">
        <v>0.5</v>
      </c>
      <c r="J65" s="194">
        <v>6</v>
      </c>
      <c r="K65" s="194">
        <v>0.8</v>
      </c>
      <c r="L65" s="194">
        <v>1</v>
      </c>
      <c r="M65" s="194">
        <v>7</v>
      </c>
      <c r="N65" s="194">
        <v>0.93799999999999994</v>
      </c>
      <c r="O65" s="194">
        <v>0.85699999999999998</v>
      </c>
      <c r="P65" s="194">
        <v>7</v>
      </c>
      <c r="Q65" s="194">
        <v>0.90900000000000003</v>
      </c>
      <c r="R65" s="194">
        <v>1</v>
      </c>
      <c r="S65" s="194">
        <v>2</v>
      </c>
      <c r="T65" s="194">
        <v>1</v>
      </c>
      <c r="U65" s="194">
        <v>1</v>
      </c>
      <c r="V65" s="194">
        <v>2</v>
      </c>
      <c r="W65" s="194"/>
      <c r="X65" s="194"/>
      <c r="Y65" s="194"/>
      <c r="Z65" s="194"/>
      <c r="AA65" s="194"/>
      <c r="AB65" s="194"/>
      <c r="AC65" s="194"/>
      <c r="AD65" s="194"/>
      <c r="AE65" s="194"/>
      <c r="AF65" s="194"/>
      <c r="AG65" s="194"/>
      <c r="AH65" s="194"/>
      <c r="AI65" s="194"/>
      <c r="AJ65" s="194"/>
      <c r="AK65" s="194"/>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row>
    <row r="66" spans="1:61" x14ac:dyDescent="0.3">
      <c r="A66" s="193" t="s">
        <v>414</v>
      </c>
      <c r="B66" s="194">
        <v>0.746</v>
      </c>
      <c r="C66" s="194">
        <v>0.69399999999999995</v>
      </c>
      <c r="D66" s="194">
        <v>36</v>
      </c>
      <c r="E66" s="194">
        <v>0.63700000000000001</v>
      </c>
      <c r="F66" s="194">
        <v>0.82599999999999996</v>
      </c>
      <c r="G66" s="194">
        <v>23</v>
      </c>
      <c r="H66" s="194">
        <v>0.621</v>
      </c>
      <c r="I66" s="194">
        <v>0.48799999999999999</v>
      </c>
      <c r="J66" s="194">
        <v>43</v>
      </c>
      <c r="K66" s="194">
        <v>0.621</v>
      </c>
      <c r="L66" s="194">
        <v>0.64900000000000002</v>
      </c>
      <c r="M66" s="194">
        <v>37</v>
      </c>
      <c r="N66" s="194">
        <v>0.72199999999999998</v>
      </c>
      <c r="O66" s="194">
        <v>0.82599999999999996</v>
      </c>
      <c r="P66" s="194">
        <v>23</v>
      </c>
      <c r="Q66" s="194">
        <v>0.78100000000000003</v>
      </c>
      <c r="R66" s="194">
        <v>0.73299999999999998</v>
      </c>
      <c r="S66" s="194">
        <v>30</v>
      </c>
      <c r="T66" s="194">
        <v>0.76</v>
      </c>
      <c r="U66" s="194">
        <v>0.8</v>
      </c>
      <c r="V66" s="194">
        <v>20</v>
      </c>
      <c r="W66" s="194"/>
      <c r="X66" s="194"/>
      <c r="Y66" s="194"/>
      <c r="Z66" s="194"/>
      <c r="AA66" s="194"/>
      <c r="AB66" s="194"/>
      <c r="AC66" s="194"/>
      <c r="AD66" s="194"/>
      <c r="AE66" s="194"/>
      <c r="AF66" s="194"/>
      <c r="AG66" s="194"/>
      <c r="AH66" s="194"/>
      <c r="AI66" s="194"/>
      <c r="AJ66" s="194"/>
      <c r="AK66" s="194"/>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row>
    <row r="67" spans="1:61" x14ac:dyDescent="0.3">
      <c r="A67" s="193" t="s">
        <v>456</v>
      </c>
      <c r="B67" s="194">
        <v>0.75900000000000001</v>
      </c>
      <c r="C67" s="194">
        <v>0.80900000000000005</v>
      </c>
      <c r="D67" s="194">
        <v>47</v>
      </c>
      <c r="E67" s="194">
        <v>0.752</v>
      </c>
      <c r="F67" s="194">
        <v>0.7</v>
      </c>
      <c r="G67" s="194">
        <v>40</v>
      </c>
      <c r="H67" s="194">
        <v>0.752</v>
      </c>
      <c r="I67" s="194">
        <v>0.73799999999999999</v>
      </c>
      <c r="J67" s="194">
        <v>42</v>
      </c>
      <c r="K67" s="194">
        <v>0.76900000000000002</v>
      </c>
      <c r="L67" s="194">
        <v>0.85199999999999998</v>
      </c>
      <c r="M67" s="194">
        <v>27</v>
      </c>
      <c r="N67" s="194">
        <v>0.77700000000000002</v>
      </c>
      <c r="O67" s="194">
        <v>0.74399999999999999</v>
      </c>
      <c r="P67" s="194">
        <v>39</v>
      </c>
      <c r="Q67" s="194">
        <v>0.71899999999999997</v>
      </c>
      <c r="R67" s="194">
        <v>0.75700000000000001</v>
      </c>
      <c r="S67" s="194">
        <v>37</v>
      </c>
      <c r="T67" s="194">
        <v>0.70699999999999996</v>
      </c>
      <c r="U67" s="194">
        <v>0.66700000000000004</v>
      </c>
      <c r="V67" s="194">
        <v>45</v>
      </c>
      <c r="W67" s="194"/>
      <c r="X67" s="194"/>
      <c r="Y67" s="194"/>
      <c r="Z67" s="194"/>
      <c r="AA67" s="194"/>
      <c r="AB67" s="194"/>
      <c r="AC67" s="194"/>
      <c r="AD67" s="194"/>
      <c r="AE67" s="194"/>
      <c r="AF67" s="194"/>
      <c r="AG67" s="194"/>
      <c r="AH67" s="194"/>
      <c r="AI67" s="194"/>
      <c r="AJ67" s="194"/>
      <c r="AK67" s="194"/>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row>
    <row r="68" spans="1:61" x14ac:dyDescent="0.3">
      <c r="A68" s="193" t="s">
        <v>293</v>
      </c>
      <c r="B68" s="194">
        <v>0.70599999999999996</v>
      </c>
      <c r="C68" s="194">
        <v>1</v>
      </c>
      <c r="D68" s="194">
        <v>6</v>
      </c>
      <c r="E68" s="194">
        <v>0.76200000000000001</v>
      </c>
      <c r="F68" s="194">
        <v>0.54500000000000004</v>
      </c>
      <c r="G68" s="194">
        <v>11</v>
      </c>
      <c r="H68" s="194">
        <v>0.61099999999999999</v>
      </c>
      <c r="I68" s="194">
        <v>1</v>
      </c>
      <c r="J68" s="194">
        <v>4</v>
      </c>
      <c r="K68" s="194">
        <v>0.8</v>
      </c>
      <c r="L68" s="194">
        <v>0.33300000000000002</v>
      </c>
      <c r="M68" s="194">
        <v>3</v>
      </c>
      <c r="N68" s="194">
        <v>0.8</v>
      </c>
      <c r="O68" s="194">
        <v>0.875</v>
      </c>
      <c r="P68" s="194">
        <v>8</v>
      </c>
      <c r="Q68" s="194">
        <v>0.85399999999999998</v>
      </c>
      <c r="R68" s="194">
        <v>0.84199999999999997</v>
      </c>
      <c r="S68" s="194">
        <v>19</v>
      </c>
      <c r="T68" s="194">
        <v>0.84799999999999998</v>
      </c>
      <c r="U68" s="194">
        <v>0.85699999999999998</v>
      </c>
      <c r="V68" s="194">
        <v>14</v>
      </c>
      <c r="W68" s="194"/>
      <c r="X68" s="194"/>
      <c r="Y68" s="194"/>
      <c r="Z68" s="194"/>
      <c r="AA68" s="194"/>
      <c r="AB68" s="194"/>
      <c r="AC68" s="194"/>
      <c r="AD68" s="194"/>
      <c r="AE68" s="194"/>
      <c r="AF68" s="194"/>
      <c r="AG68" s="194"/>
      <c r="AH68" s="194"/>
      <c r="AI68" s="194"/>
      <c r="AJ68" s="194"/>
      <c r="AK68" s="194"/>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row>
    <row r="69" spans="1:61" x14ac:dyDescent="0.3">
      <c r="A69" s="193" t="s">
        <v>486</v>
      </c>
      <c r="B69" s="194">
        <v>0.8</v>
      </c>
      <c r="C69" s="194">
        <v>0.33300000000000002</v>
      </c>
      <c r="D69" s="194">
        <v>3</v>
      </c>
      <c r="E69" s="194">
        <v>0.81299999999999994</v>
      </c>
      <c r="F69" s="194">
        <v>1</v>
      </c>
      <c r="G69" s="194">
        <v>7</v>
      </c>
      <c r="H69" s="194">
        <v>0.94699999999999995</v>
      </c>
      <c r="I69" s="194">
        <v>0.83299999999999996</v>
      </c>
      <c r="J69" s="194">
        <v>6</v>
      </c>
      <c r="K69" s="194">
        <v>0.81299999999999994</v>
      </c>
      <c r="L69" s="194">
        <v>1</v>
      </c>
      <c r="M69" s="194">
        <v>6</v>
      </c>
      <c r="N69" s="194">
        <v>0.68799999999999994</v>
      </c>
      <c r="O69" s="194">
        <v>0.5</v>
      </c>
      <c r="P69" s="194">
        <v>4</v>
      </c>
      <c r="Q69" s="194">
        <v>0.52900000000000003</v>
      </c>
      <c r="R69" s="194">
        <v>0.5</v>
      </c>
      <c r="S69" s="194">
        <v>6</v>
      </c>
      <c r="T69" s="194">
        <v>0.53800000000000003</v>
      </c>
      <c r="U69" s="194">
        <v>0.57099999999999995</v>
      </c>
      <c r="V69" s="194">
        <v>7</v>
      </c>
      <c r="W69" s="194"/>
      <c r="X69" s="194"/>
      <c r="Y69" s="194"/>
      <c r="Z69" s="194"/>
      <c r="AA69" s="194"/>
      <c r="AB69" s="194"/>
      <c r="AC69" s="194"/>
      <c r="AD69" s="194"/>
      <c r="AE69" s="194"/>
      <c r="AF69" s="194"/>
      <c r="AG69" s="194"/>
      <c r="AH69" s="194"/>
      <c r="AI69" s="194"/>
      <c r="AJ69" s="194"/>
      <c r="AK69" s="194"/>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row>
    <row r="70" spans="1:61" x14ac:dyDescent="0.3">
      <c r="A70" s="193" t="s">
        <v>362</v>
      </c>
      <c r="B70" s="194">
        <v>0.81</v>
      </c>
      <c r="C70" s="194">
        <v>0.8</v>
      </c>
      <c r="D70" s="194">
        <v>15</v>
      </c>
      <c r="E70" s="194">
        <v>0.76900000000000002</v>
      </c>
      <c r="F70" s="194">
        <v>0.83299999999999996</v>
      </c>
      <c r="G70" s="194">
        <v>6</v>
      </c>
      <c r="H70" s="194">
        <v>0.63600000000000001</v>
      </c>
      <c r="I70" s="194">
        <v>0.6</v>
      </c>
      <c r="J70" s="194">
        <v>5</v>
      </c>
      <c r="K70" s="194">
        <v>0.45500000000000002</v>
      </c>
      <c r="L70" s="194">
        <v>0.54500000000000004</v>
      </c>
      <c r="M70" s="194">
        <v>11</v>
      </c>
      <c r="N70" s="194">
        <v>0.45200000000000001</v>
      </c>
      <c r="O70" s="194">
        <v>0.16700000000000001</v>
      </c>
      <c r="P70" s="194">
        <v>6</v>
      </c>
      <c r="Q70" s="194">
        <v>0.42899999999999999</v>
      </c>
      <c r="R70" s="194">
        <v>0.5</v>
      </c>
      <c r="S70" s="194">
        <v>14</v>
      </c>
      <c r="T70" s="194">
        <v>0.5</v>
      </c>
      <c r="U70" s="194">
        <v>0.5</v>
      </c>
      <c r="V70" s="194">
        <v>8</v>
      </c>
      <c r="W70" s="194"/>
      <c r="X70" s="194"/>
      <c r="Y70" s="194"/>
      <c r="Z70" s="194"/>
      <c r="AA70" s="194"/>
      <c r="AB70" s="194"/>
      <c r="AC70" s="194"/>
      <c r="AD70" s="194"/>
      <c r="AE70" s="194"/>
      <c r="AF70" s="194"/>
      <c r="AG70" s="194"/>
      <c r="AH70" s="194"/>
      <c r="AI70" s="194"/>
      <c r="AJ70" s="194"/>
      <c r="AK70" s="194"/>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row>
    <row r="71" spans="1:61" x14ac:dyDescent="0.3">
      <c r="A71" s="193" t="s">
        <v>367</v>
      </c>
      <c r="B71" s="194">
        <v>0.72899999999999998</v>
      </c>
      <c r="C71" s="194">
        <v>0.65</v>
      </c>
      <c r="D71" s="194">
        <v>20</v>
      </c>
      <c r="E71" s="194">
        <v>0.72899999999999998</v>
      </c>
      <c r="F71" s="194">
        <v>0.78600000000000003</v>
      </c>
      <c r="G71" s="194">
        <v>28</v>
      </c>
      <c r="H71" s="194">
        <v>0.76</v>
      </c>
      <c r="I71" s="194">
        <v>0.72699999999999998</v>
      </c>
      <c r="J71" s="194">
        <v>22</v>
      </c>
      <c r="K71" s="194">
        <v>0.71599999999999997</v>
      </c>
      <c r="L71" s="194">
        <v>0.76</v>
      </c>
      <c r="M71" s="194">
        <v>25</v>
      </c>
      <c r="N71" s="194">
        <v>0.72699999999999998</v>
      </c>
      <c r="O71" s="194">
        <v>0.65</v>
      </c>
      <c r="P71" s="194">
        <v>20</v>
      </c>
      <c r="Q71" s="194">
        <v>0.72499999999999998</v>
      </c>
      <c r="R71" s="194">
        <v>0.75</v>
      </c>
      <c r="S71" s="194">
        <v>32</v>
      </c>
      <c r="T71" s="194">
        <v>0.746</v>
      </c>
      <c r="U71" s="194">
        <v>0.74399999999999999</v>
      </c>
      <c r="V71" s="194">
        <v>39</v>
      </c>
      <c r="W71" s="194"/>
      <c r="X71" s="194"/>
      <c r="Y71" s="194"/>
      <c r="Z71" s="194"/>
      <c r="AA71" s="194"/>
      <c r="AB71" s="194"/>
      <c r="AC71" s="194"/>
      <c r="AD71" s="194"/>
      <c r="AE71" s="194"/>
      <c r="AF71" s="194"/>
      <c r="AG71" s="194"/>
      <c r="AH71" s="194"/>
      <c r="AI71" s="194"/>
      <c r="AJ71" s="194"/>
      <c r="AK71" s="194"/>
      <c r="AL71" s="55"/>
      <c r="AM71" s="55"/>
      <c r="AN71" s="55"/>
      <c r="AO71" s="55"/>
      <c r="AP71" s="55"/>
      <c r="AQ71" s="55"/>
      <c r="AR71" s="55"/>
      <c r="AS71" s="55"/>
      <c r="AT71" s="55"/>
      <c r="AU71" s="55"/>
      <c r="AV71" s="55"/>
      <c r="AW71" s="55"/>
      <c r="AX71" s="55"/>
      <c r="AY71" s="55"/>
      <c r="AZ71" s="55"/>
      <c r="BA71" s="55"/>
      <c r="BB71" s="55"/>
      <c r="BC71" s="55"/>
      <c r="BD71" s="55"/>
      <c r="BE71" s="55"/>
      <c r="BF71" s="55"/>
      <c r="BG71" s="55"/>
      <c r="BH71" s="55"/>
      <c r="BI71" s="55"/>
    </row>
    <row r="72" spans="1:61" x14ac:dyDescent="0.3">
      <c r="A72" s="193" t="s">
        <v>327</v>
      </c>
      <c r="B72" s="194">
        <v>0.52400000000000002</v>
      </c>
      <c r="C72" s="194">
        <v>0.33300000000000002</v>
      </c>
      <c r="D72" s="194">
        <v>3</v>
      </c>
      <c r="E72" s="194">
        <v>0.58299999999999996</v>
      </c>
      <c r="F72" s="194">
        <v>0.55600000000000005</v>
      </c>
      <c r="G72" s="194">
        <v>18</v>
      </c>
      <c r="H72" s="194">
        <v>0.63600000000000001</v>
      </c>
      <c r="I72" s="194">
        <v>0.66700000000000004</v>
      </c>
      <c r="J72" s="194">
        <v>15</v>
      </c>
      <c r="K72" s="194">
        <v>0.71099999999999997</v>
      </c>
      <c r="L72" s="194">
        <v>0.72699999999999998</v>
      </c>
      <c r="M72" s="194">
        <v>11</v>
      </c>
      <c r="N72" s="194">
        <v>0.7</v>
      </c>
      <c r="O72" s="194">
        <v>0.75</v>
      </c>
      <c r="P72" s="194">
        <v>12</v>
      </c>
      <c r="Q72" s="194">
        <v>0.69</v>
      </c>
      <c r="R72" s="194">
        <v>0.64700000000000002</v>
      </c>
      <c r="S72" s="194">
        <v>17</v>
      </c>
      <c r="T72" s="194">
        <v>0.66700000000000004</v>
      </c>
      <c r="U72" s="194">
        <v>0.69199999999999995</v>
      </c>
      <c r="V72" s="194">
        <v>13</v>
      </c>
      <c r="W72" s="194"/>
      <c r="X72" s="194"/>
      <c r="Y72" s="194"/>
      <c r="Z72" s="194"/>
      <c r="AA72" s="194"/>
      <c r="AB72" s="194"/>
      <c r="AC72" s="194"/>
      <c r="AD72" s="194"/>
      <c r="AE72" s="194"/>
      <c r="AF72" s="194"/>
      <c r="AG72" s="194"/>
      <c r="AH72" s="194"/>
      <c r="AI72" s="194"/>
      <c r="AJ72" s="194"/>
      <c r="AK72" s="194"/>
      <c r="AL72" s="55"/>
      <c r="AM72" s="55"/>
      <c r="AN72" s="55"/>
      <c r="AO72" s="55"/>
      <c r="AP72" s="55"/>
      <c r="AQ72" s="55"/>
      <c r="AR72" s="55"/>
      <c r="AS72" s="55"/>
      <c r="AT72" s="55"/>
      <c r="AU72" s="55"/>
      <c r="AV72" s="55"/>
      <c r="AW72" s="55"/>
      <c r="AX72" s="55"/>
      <c r="AY72" s="55"/>
      <c r="AZ72" s="55"/>
      <c r="BA72" s="55"/>
      <c r="BB72" s="55"/>
      <c r="BC72" s="55"/>
      <c r="BD72" s="55"/>
      <c r="BE72" s="55"/>
      <c r="BF72" s="55"/>
      <c r="BG72" s="55"/>
      <c r="BH72" s="55"/>
      <c r="BI72" s="55"/>
    </row>
    <row r="73" spans="1:61" x14ac:dyDescent="0.3">
      <c r="A73" s="193" t="s">
        <v>492</v>
      </c>
      <c r="B73" s="194">
        <v>0.79200000000000004</v>
      </c>
      <c r="C73" s="194">
        <v>0.84599999999999997</v>
      </c>
      <c r="D73" s="194">
        <v>13</v>
      </c>
      <c r="E73" s="194">
        <v>0.84599999999999997</v>
      </c>
      <c r="F73" s="194">
        <v>0.72699999999999998</v>
      </c>
      <c r="G73" s="194">
        <v>11</v>
      </c>
      <c r="H73" s="194">
        <v>0.84599999999999997</v>
      </c>
      <c r="I73" s="194">
        <v>0.93300000000000005</v>
      </c>
      <c r="J73" s="194">
        <v>15</v>
      </c>
      <c r="K73" s="194">
        <v>0.90500000000000003</v>
      </c>
      <c r="L73" s="194">
        <v>0.84599999999999997</v>
      </c>
      <c r="M73" s="194">
        <v>26</v>
      </c>
      <c r="N73" s="194">
        <v>0.89500000000000002</v>
      </c>
      <c r="O73" s="194">
        <v>0.95499999999999996</v>
      </c>
      <c r="P73" s="194">
        <v>22</v>
      </c>
      <c r="Q73" s="194">
        <v>0.91200000000000003</v>
      </c>
      <c r="R73" s="194">
        <v>0.89300000000000002</v>
      </c>
      <c r="S73" s="194">
        <v>28</v>
      </c>
      <c r="T73" s="194">
        <v>0.89100000000000001</v>
      </c>
      <c r="U73" s="194">
        <v>0.88900000000000001</v>
      </c>
      <c r="V73" s="194">
        <v>18</v>
      </c>
      <c r="W73" s="194"/>
      <c r="X73" s="194"/>
      <c r="Y73" s="194"/>
      <c r="Z73" s="194"/>
      <c r="AA73" s="194"/>
      <c r="AB73" s="194"/>
      <c r="AC73" s="194"/>
      <c r="AD73" s="194"/>
      <c r="AE73" s="194"/>
      <c r="AF73" s="194"/>
      <c r="AG73" s="194"/>
      <c r="AH73" s="194"/>
      <c r="AI73" s="194"/>
      <c r="AJ73" s="194"/>
      <c r="AK73" s="194"/>
      <c r="AL73" s="55"/>
      <c r="AM73" s="55"/>
      <c r="AN73" s="55"/>
      <c r="AO73" s="55"/>
      <c r="AP73" s="55"/>
      <c r="AQ73" s="55"/>
      <c r="AR73" s="55"/>
      <c r="AS73" s="55"/>
      <c r="AT73" s="55"/>
      <c r="AU73" s="55"/>
      <c r="AV73" s="55"/>
      <c r="AW73" s="55"/>
      <c r="AX73" s="55"/>
      <c r="AY73" s="55"/>
      <c r="AZ73" s="55"/>
      <c r="BA73" s="55"/>
      <c r="BB73" s="55"/>
      <c r="BC73" s="55"/>
      <c r="BD73" s="55"/>
      <c r="BE73" s="55"/>
      <c r="BF73" s="55"/>
      <c r="BG73" s="55"/>
      <c r="BH73" s="55"/>
      <c r="BI73" s="55"/>
    </row>
    <row r="74" spans="1:61" x14ac:dyDescent="0.3">
      <c r="A74" s="193" t="s">
        <v>418</v>
      </c>
      <c r="B74" s="194">
        <v>0.52600000000000002</v>
      </c>
      <c r="C74" s="194">
        <v>0.54500000000000004</v>
      </c>
      <c r="D74" s="194">
        <v>11</v>
      </c>
      <c r="E74" s="194">
        <v>0.379</v>
      </c>
      <c r="F74" s="194">
        <v>0.5</v>
      </c>
      <c r="G74" s="194">
        <v>8</v>
      </c>
      <c r="H74" s="194">
        <v>0.32300000000000001</v>
      </c>
      <c r="I74" s="194">
        <v>0.1</v>
      </c>
      <c r="J74" s="194">
        <v>10</v>
      </c>
      <c r="K74" s="194">
        <v>0.25800000000000001</v>
      </c>
      <c r="L74" s="194">
        <v>0.38500000000000001</v>
      </c>
      <c r="M74" s="194">
        <v>13</v>
      </c>
      <c r="N74" s="194">
        <v>0.33300000000000002</v>
      </c>
      <c r="O74" s="194">
        <v>0.25</v>
      </c>
      <c r="P74" s="194">
        <v>8</v>
      </c>
      <c r="Q74" s="194">
        <v>0.32</v>
      </c>
      <c r="R74" s="194">
        <v>0.33300000000000002</v>
      </c>
      <c r="S74" s="194">
        <v>9</v>
      </c>
      <c r="T74" s="194">
        <v>0.35299999999999998</v>
      </c>
      <c r="U74" s="194">
        <v>0.375</v>
      </c>
      <c r="V74" s="194">
        <v>8</v>
      </c>
      <c r="W74" s="194"/>
      <c r="X74" s="194"/>
      <c r="Y74" s="194"/>
      <c r="Z74" s="194"/>
      <c r="AA74" s="194"/>
      <c r="AB74" s="194"/>
      <c r="AC74" s="194"/>
      <c r="AD74" s="194"/>
      <c r="AE74" s="194"/>
      <c r="AF74" s="194"/>
      <c r="AG74" s="194"/>
      <c r="AH74" s="194"/>
      <c r="AI74" s="194"/>
      <c r="AJ74" s="194"/>
      <c r="AK74" s="194"/>
      <c r="AL74" s="55"/>
      <c r="AM74" s="55"/>
      <c r="AN74" s="55"/>
      <c r="AO74" s="55"/>
      <c r="AP74" s="55"/>
      <c r="AQ74" s="55"/>
      <c r="AR74" s="55"/>
      <c r="AS74" s="55"/>
      <c r="AT74" s="55"/>
      <c r="AU74" s="55"/>
      <c r="AV74" s="55"/>
      <c r="AW74" s="55"/>
      <c r="AX74" s="55"/>
      <c r="AY74" s="55"/>
      <c r="AZ74" s="55"/>
      <c r="BA74" s="55"/>
      <c r="BB74" s="55"/>
      <c r="BC74" s="55"/>
      <c r="BD74" s="55"/>
      <c r="BE74" s="55"/>
      <c r="BF74" s="55"/>
      <c r="BG74" s="55"/>
      <c r="BH74" s="55"/>
      <c r="BI74" s="55"/>
    </row>
    <row r="75" spans="1:61" x14ac:dyDescent="0.3">
      <c r="A75" s="193" t="s">
        <v>382</v>
      </c>
      <c r="B75" s="194">
        <v>0.23499999999999999</v>
      </c>
      <c r="C75" s="194">
        <v>0.125</v>
      </c>
      <c r="D75" s="194">
        <v>8</v>
      </c>
      <c r="E75" s="194">
        <v>0.2</v>
      </c>
      <c r="F75" s="194">
        <v>0.33300000000000002</v>
      </c>
      <c r="G75" s="194">
        <v>9</v>
      </c>
      <c r="H75" s="194">
        <v>0.33300000000000002</v>
      </c>
      <c r="I75" s="194">
        <v>0.125</v>
      </c>
      <c r="J75" s="194">
        <v>8</v>
      </c>
      <c r="K75" s="194">
        <v>0.4</v>
      </c>
      <c r="L75" s="194">
        <v>0.57099999999999995</v>
      </c>
      <c r="M75" s="194">
        <v>7</v>
      </c>
      <c r="N75" s="194">
        <v>0.48399999999999999</v>
      </c>
      <c r="O75" s="194">
        <v>0.46700000000000003</v>
      </c>
      <c r="P75" s="194">
        <v>15</v>
      </c>
      <c r="Q75" s="194">
        <v>0.433</v>
      </c>
      <c r="R75" s="194">
        <v>0.44400000000000001</v>
      </c>
      <c r="S75" s="194">
        <v>9</v>
      </c>
      <c r="T75" s="194">
        <v>0.4</v>
      </c>
      <c r="U75" s="194">
        <v>0.33300000000000002</v>
      </c>
      <c r="V75" s="194">
        <v>6</v>
      </c>
      <c r="W75" s="194"/>
      <c r="X75" s="194"/>
      <c r="Y75" s="194"/>
      <c r="Z75" s="194"/>
      <c r="AA75" s="194"/>
      <c r="AB75" s="194"/>
      <c r="AC75" s="194"/>
      <c r="AD75" s="194"/>
      <c r="AE75" s="194"/>
      <c r="AF75" s="194"/>
      <c r="AG75" s="194"/>
      <c r="AH75" s="194"/>
      <c r="AI75" s="194"/>
      <c r="AJ75" s="194"/>
      <c r="AK75" s="194"/>
      <c r="AL75" s="55"/>
      <c r="AM75" s="55"/>
      <c r="AN75" s="55"/>
      <c r="AO75" s="55"/>
      <c r="AP75" s="55"/>
      <c r="AQ75" s="55"/>
      <c r="AR75" s="55"/>
      <c r="AS75" s="55"/>
      <c r="AT75" s="55"/>
      <c r="AU75" s="55"/>
      <c r="AV75" s="55"/>
      <c r="AW75" s="55"/>
      <c r="AX75" s="55"/>
      <c r="AY75" s="55"/>
      <c r="AZ75" s="55"/>
      <c r="BA75" s="55"/>
      <c r="BB75" s="55"/>
      <c r="BC75" s="55"/>
      <c r="BD75" s="55"/>
      <c r="BE75" s="55"/>
      <c r="BF75" s="55"/>
      <c r="BG75" s="55"/>
      <c r="BH75" s="55"/>
      <c r="BI75" s="55"/>
    </row>
    <row r="76" spans="1:61" x14ac:dyDescent="0.3">
      <c r="A76" s="193" t="s">
        <v>427</v>
      </c>
      <c r="B76" s="194">
        <v>0.48099999999999998</v>
      </c>
      <c r="C76" s="194">
        <v>0.36399999999999999</v>
      </c>
      <c r="D76" s="194">
        <v>11</v>
      </c>
      <c r="E76" s="194">
        <v>0.45900000000000002</v>
      </c>
      <c r="F76" s="194">
        <v>0.56299999999999994</v>
      </c>
      <c r="G76" s="194">
        <v>16</v>
      </c>
      <c r="H76" s="194">
        <v>0.59099999999999997</v>
      </c>
      <c r="I76" s="194">
        <v>0.4</v>
      </c>
      <c r="J76" s="194">
        <v>10</v>
      </c>
      <c r="K76" s="194">
        <v>0.68300000000000005</v>
      </c>
      <c r="L76" s="194">
        <v>0.72199999999999998</v>
      </c>
      <c r="M76" s="194">
        <v>18</v>
      </c>
      <c r="N76" s="194">
        <v>0.73299999999999998</v>
      </c>
      <c r="O76" s="194">
        <v>0.84599999999999997</v>
      </c>
      <c r="P76" s="194">
        <v>13</v>
      </c>
      <c r="Q76" s="194">
        <v>0.75800000000000001</v>
      </c>
      <c r="R76" s="194">
        <v>0.64300000000000002</v>
      </c>
      <c r="S76" s="194">
        <v>14</v>
      </c>
      <c r="T76" s="194">
        <v>0.7</v>
      </c>
      <c r="U76" s="194">
        <v>0.83299999999999996</v>
      </c>
      <c r="V76" s="194">
        <v>6</v>
      </c>
      <c r="W76" s="194"/>
      <c r="X76" s="194"/>
      <c r="Y76" s="194"/>
      <c r="Z76" s="194"/>
      <c r="AA76" s="194"/>
      <c r="AB76" s="194"/>
      <c r="AC76" s="194"/>
      <c r="AD76" s="194"/>
      <c r="AE76" s="194"/>
      <c r="AF76" s="194"/>
      <c r="AG76" s="194"/>
      <c r="AH76" s="194"/>
      <c r="AI76" s="194"/>
      <c r="AJ76" s="194"/>
      <c r="AK76" s="194"/>
      <c r="AL76" s="55"/>
      <c r="AM76" s="55"/>
      <c r="AN76" s="55"/>
      <c r="AO76" s="55"/>
      <c r="AP76" s="55"/>
      <c r="AQ76" s="55"/>
      <c r="AR76" s="55"/>
      <c r="AS76" s="55"/>
      <c r="AT76" s="55"/>
      <c r="AU76" s="55"/>
      <c r="AV76" s="55"/>
      <c r="AW76" s="55"/>
      <c r="AX76" s="55"/>
      <c r="AY76" s="55"/>
      <c r="AZ76" s="55"/>
      <c r="BA76" s="55"/>
      <c r="BB76" s="55"/>
      <c r="BC76" s="55"/>
      <c r="BD76" s="55"/>
      <c r="BE76" s="55"/>
      <c r="BF76" s="55"/>
      <c r="BG76" s="55"/>
      <c r="BH76" s="55"/>
      <c r="BI76" s="55"/>
    </row>
    <row r="77" spans="1:61" x14ac:dyDescent="0.3">
      <c r="A77" s="193" t="s">
        <v>458</v>
      </c>
      <c r="B77" s="194">
        <v>0.81299999999999994</v>
      </c>
      <c r="C77" s="194">
        <v>0.875</v>
      </c>
      <c r="D77" s="194">
        <v>8</v>
      </c>
      <c r="E77" s="194">
        <v>0.83299999999999996</v>
      </c>
      <c r="F77" s="194">
        <v>0.75</v>
      </c>
      <c r="G77" s="194">
        <v>8</v>
      </c>
      <c r="H77" s="194">
        <v>0.77800000000000002</v>
      </c>
      <c r="I77" s="194">
        <v>0.875</v>
      </c>
      <c r="J77" s="194">
        <v>8</v>
      </c>
      <c r="K77" s="194">
        <v>0.85199999999999998</v>
      </c>
      <c r="L77" s="194">
        <v>0.72699999999999998</v>
      </c>
      <c r="M77" s="194">
        <v>11</v>
      </c>
      <c r="N77" s="194">
        <v>0.85699999999999998</v>
      </c>
      <c r="O77" s="194">
        <v>1</v>
      </c>
      <c r="P77" s="194">
        <v>8</v>
      </c>
      <c r="Q77" s="194">
        <v>0.92300000000000004</v>
      </c>
      <c r="R77" s="194">
        <v>0.88900000000000001</v>
      </c>
      <c r="S77" s="194">
        <v>9</v>
      </c>
      <c r="T77" s="194">
        <v>0.88900000000000001</v>
      </c>
      <c r="U77" s="194">
        <v>0.88900000000000001</v>
      </c>
      <c r="V77" s="194">
        <v>9</v>
      </c>
      <c r="W77" s="194"/>
      <c r="X77" s="194"/>
      <c r="Y77" s="194"/>
      <c r="Z77" s="194"/>
      <c r="AA77" s="194"/>
      <c r="AB77" s="194"/>
      <c r="AC77" s="194"/>
      <c r="AD77" s="194"/>
      <c r="AE77" s="194"/>
      <c r="AF77" s="194"/>
      <c r="AG77" s="194"/>
      <c r="AH77" s="194"/>
      <c r="AI77" s="194"/>
      <c r="AJ77" s="194"/>
      <c r="AK77" s="194"/>
      <c r="AL77" s="55"/>
      <c r="AM77" s="55"/>
      <c r="AN77" s="55"/>
      <c r="AO77" s="55"/>
      <c r="AP77" s="55"/>
      <c r="AQ77" s="55"/>
      <c r="AR77" s="55"/>
      <c r="AS77" s="55"/>
      <c r="AT77" s="55"/>
      <c r="AU77" s="55"/>
      <c r="AV77" s="55"/>
      <c r="AW77" s="55"/>
      <c r="AX77" s="55"/>
      <c r="AY77" s="55"/>
      <c r="AZ77" s="55"/>
      <c r="BA77" s="55"/>
      <c r="BB77" s="55"/>
      <c r="BC77" s="55"/>
      <c r="BD77" s="55"/>
      <c r="BE77" s="55"/>
      <c r="BF77" s="55"/>
      <c r="BG77" s="55"/>
      <c r="BH77" s="55"/>
      <c r="BI77" s="55"/>
    </row>
    <row r="78" spans="1:61" x14ac:dyDescent="0.3">
      <c r="A78" s="193" t="s">
        <v>330</v>
      </c>
      <c r="B78" s="194">
        <v>0.91300000000000003</v>
      </c>
      <c r="C78" s="194">
        <v>0.91700000000000004</v>
      </c>
      <c r="D78" s="194">
        <v>24</v>
      </c>
      <c r="E78" s="194">
        <v>0.71199999999999997</v>
      </c>
      <c r="F78" s="194">
        <v>0.90900000000000003</v>
      </c>
      <c r="G78" s="194">
        <v>22</v>
      </c>
      <c r="H78" s="194">
        <v>0.63600000000000001</v>
      </c>
      <c r="I78" s="194">
        <v>0.37</v>
      </c>
      <c r="J78" s="194">
        <v>27</v>
      </c>
      <c r="K78" s="194">
        <v>0.51800000000000002</v>
      </c>
      <c r="L78" s="194">
        <v>0.70599999999999996</v>
      </c>
      <c r="M78" s="194">
        <v>17</v>
      </c>
      <c r="N78" s="194">
        <v>0.63800000000000001</v>
      </c>
      <c r="O78" s="194">
        <v>0.58299999999999996</v>
      </c>
      <c r="P78" s="194">
        <v>12</v>
      </c>
      <c r="Q78" s="194">
        <v>0.59199999999999997</v>
      </c>
      <c r="R78" s="194">
        <v>0.61099999999999999</v>
      </c>
      <c r="S78" s="194">
        <v>18</v>
      </c>
      <c r="T78" s="194">
        <v>0.59499999999999997</v>
      </c>
      <c r="U78" s="194">
        <v>0.57899999999999996</v>
      </c>
      <c r="V78" s="194">
        <v>19</v>
      </c>
      <c r="W78" s="194"/>
      <c r="X78" s="194"/>
      <c r="Y78" s="194"/>
      <c r="Z78" s="194"/>
      <c r="AA78" s="194"/>
      <c r="AB78" s="194"/>
      <c r="AC78" s="194"/>
      <c r="AD78" s="194"/>
      <c r="AE78" s="194"/>
      <c r="AF78" s="194"/>
      <c r="AG78" s="194"/>
      <c r="AH78" s="194"/>
      <c r="AI78" s="194"/>
      <c r="AJ78" s="194"/>
      <c r="AK78" s="194"/>
      <c r="AL78" s="55"/>
      <c r="AM78" s="55"/>
      <c r="AN78" s="55"/>
      <c r="AO78" s="55"/>
      <c r="AP78" s="55"/>
      <c r="AQ78" s="55"/>
      <c r="AR78" s="55"/>
      <c r="AS78" s="55"/>
      <c r="AT78" s="55"/>
      <c r="AU78" s="55"/>
      <c r="AV78" s="55"/>
      <c r="AW78" s="55"/>
      <c r="AX78" s="55"/>
      <c r="AY78" s="55"/>
      <c r="AZ78" s="55"/>
      <c r="BA78" s="55"/>
      <c r="BB78" s="55"/>
      <c r="BC78" s="55"/>
      <c r="BD78" s="55"/>
      <c r="BE78" s="55"/>
      <c r="BF78" s="55"/>
      <c r="BG78" s="55"/>
      <c r="BH78" s="55"/>
      <c r="BI78" s="55"/>
    </row>
    <row r="79" spans="1:61" x14ac:dyDescent="0.3">
      <c r="A79" s="193" t="s">
        <v>404</v>
      </c>
      <c r="B79" s="194">
        <v>0.5</v>
      </c>
      <c r="C79" s="194">
        <v>0.5</v>
      </c>
      <c r="D79" s="194">
        <v>10</v>
      </c>
      <c r="E79" s="194">
        <v>0.46500000000000002</v>
      </c>
      <c r="F79" s="194">
        <v>0.5</v>
      </c>
      <c r="G79" s="194">
        <v>14</v>
      </c>
      <c r="H79" s="194">
        <v>0.63</v>
      </c>
      <c r="I79" s="194">
        <v>0.42099999999999999</v>
      </c>
      <c r="J79" s="194">
        <v>19</v>
      </c>
      <c r="K79" s="194">
        <v>0.72399999999999998</v>
      </c>
      <c r="L79" s="194">
        <v>0.90500000000000003</v>
      </c>
      <c r="M79" s="194">
        <v>21</v>
      </c>
      <c r="N79" s="194">
        <v>0.82399999999999995</v>
      </c>
      <c r="O79" s="194">
        <v>0.83299999999999996</v>
      </c>
      <c r="P79" s="194">
        <v>18</v>
      </c>
      <c r="Q79" s="194">
        <v>0.73099999999999998</v>
      </c>
      <c r="R79" s="194">
        <v>0.66700000000000004</v>
      </c>
      <c r="S79" s="194">
        <v>12</v>
      </c>
      <c r="T79" s="194">
        <v>0.67600000000000005</v>
      </c>
      <c r="U79" s="194">
        <v>0.68200000000000005</v>
      </c>
      <c r="V79" s="194">
        <v>22</v>
      </c>
      <c r="W79" s="194"/>
      <c r="X79" s="194"/>
      <c r="Y79" s="194"/>
      <c r="Z79" s="194"/>
      <c r="AA79" s="194"/>
      <c r="AB79" s="194"/>
      <c r="AC79" s="194"/>
      <c r="AD79" s="194"/>
      <c r="AE79" s="194"/>
      <c r="AF79" s="194"/>
      <c r="AG79" s="194"/>
      <c r="AH79" s="194"/>
      <c r="AI79" s="194"/>
      <c r="AJ79" s="194"/>
      <c r="AK79" s="194"/>
      <c r="AL79" s="55"/>
      <c r="AM79" s="55"/>
      <c r="AN79" s="55"/>
      <c r="AO79" s="55"/>
      <c r="AP79" s="55"/>
      <c r="AQ79" s="55"/>
      <c r="AR79" s="55"/>
      <c r="AS79" s="55"/>
      <c r="AT79" s="55"/>
      <c r="AU79" s="55"/>
      <c r="AV79" s="55"/>
      <c r="AW79" s="55"/>
      <c r="AX79" s="55"/>
      <c r="AY79" s="55"/>
      <c r="AZ79" s="55"/>
      <c r="BA79" s="55"/>
      <c r="BB79" s="55"/>
      <c r="BC79" s="55"/>
      <c r="BD79" s="55"/>
      <c r="BE79" s="55"/>
      <c r="BF79" s="55"/>
      <c r="BG79" s="55"/>
      <c r="BH79" s="55"/>
      <c r="BI79" s="55"/>
    </row>
    <row r="80" spans="1:61" x14ac:dyDescent="0.3">
      <c r="A80" s="193" t="s">
        <v>504</v>
      </c>
      <c r="B80" s="194">
        <v>0.44400000000000001</v>
      </c>
      <c r="C80" s="194">
        <v>0.375</v>
      </c>
      <c r="D80" s="194">
        <v>8</v>
      </c>
      <c r="E80" s="194">
        <v>0.40600000000000003</v>
      </c>
      <c r="F80" s="194">
        <v>0.5</v>
      </c>
      <c r="G80" s="194">
        <v>10</v>
      </c>
      <c r="H80" s="194">
        <v>0.38200000000000001</v>
      </c>
      <c r="I80" s="194">
        <v>0.35699999999999998</v>
      </c>
      <c r="J80" s="194">
        <v>14</v>
      </c>
      <c r="K80" s="194">
        <v>0.3</v>
      </c>
      <c r="L80" s="194">
        <v>0.3</v>
      </c>
      <c r="M80" s="194">
        <v>10</v>
      </c>
      <c r="N80" s="194">
        <v>0.24</v>
      </c>
      <c r="O80" s="194">
        <v>0.16700000000000001</v>
      </c>
      <c r="P80" s="194">
        <v>6</v>
      </c>
      <c r="Q80" s="194">
        <v>0.28599999999999998</v>
      </c>
      <c r="R80" s="194">
        <v>0.222</v>
      </c>
      <c r="S80" s="194">
        <v>9</v>
      </c>
      <c r="T80" s="194">
        <v>0.33300000000000002</v>
      </c>
      <c r="U80" s="194">
        <v>0.5</v>
      </c>
      <c r="V80" s="194">
        <v>6</v>
      </c>
      <c r="W80" s="194"/>
      <c r="X80" s="194"/>
      <c r="Y80" s="194"/>
      <c r="Z80" s="194"/>
      <c r="AA80" s="194"/>
      <c r="AB80" s="194"/>
      <c r="AC80" s="194"/>
      <c r="AD80" s="194"/>
      <c r="AE80" s="194"/>
      <c r="AF80" s="194"/>
      <c r="AG80" s="194"/>
      <c r="AH80" s="194"/>
      <c r="AI80" s="194"/>
      <c r="AJ80" s="194"/>
      <c r="AK80" s="194"/>
      <c r="AL80" s="55"/>
      <c r="AM80" s="55"/>
      <c r="AN80" s="55"/>
      <c r="AO80" s="55"/>
      <c r="AP80" s="55"/>
      <c r="AQ80" s="55"/>
      <c r="AR80" s="55"/>
      <c r="AS80" s="55"/>
      <c r="AT80" s="55"/>
      <c r="AU80" s="55"/>
      <c r="AV80" s="55"/>
      <c r="AW80" s="55"/>
      <c r="AX80" s="55"/>
      <c r="AY80" s="55"/>
      <c r="AZ80" s="55"/>
      <c r="BA80" s="55"/>
      <c r="BB80" s="55"/>
      <c r="BC80" s="55"/>
      <c r="BD80" s="55"/>
      <c r="BE80" s="55"/>
      <c r="BF80" s="55"/>
      <c r="BG80" s="55"/>
      <c r="BH80" s="55"/>
      <c r="BI80" s="55"/>
    </row>
    <row r="81" spans="1:61" x14ac:dyDescent="0.3">
      <c r="A81" s="193" t="s">
        <v>310</v>
      </c>
      <c r="B81" s="194">
        <v>0.7</v>
      </c>
      <c r="C81" s="194">
        <v>0.75</v>
      </c>
      <c r="D81" s="194">
        <v>12</v>
      </c>
      <c r="E81" s="194">
        <v>0.75</v>
      </c>
      <c r="F81" s="194">
        <v>0.625</v>
      </c>
      <c r="G81" s="194">
        <v>8</v>
      </c>
      <c r="H81" s="194">
        <v>0.68200000000000005</v>
      </c>
      <c r="I81" s="194">
        <v>0.875</v>
      </c>
      <c r="J81" s="194">
        <v>8</v>
      </c>
      <c r="K81" s="194">
        <v>0.8</v>
      </c>
      <c r="L81" s="194">
        <v>0.5</v>
      </c>
      <c r="M81" s="194">
        <v>6</v>
      </c>
      <c r="N81" s="194">
        <v>0.77800000000000002</v>
      </c>
      <c r="O81" s="194">
        <v>0.90900000000000003</v>
      </c>
      <c r="P81" s="194">
        <v>11</v>
      </c>
      <c r="Q81" s="194">
        <v>0.80600000000000005</v>
      </c>
      <c r="R81" s="194">
        <v>0.8</v>
      </c>
      <c r="S81" s="194">
        <v>10</v>
      </c>
      <c r="T81" s="194">
        <v>0.75</v>
      </c>
      <c r="U81" s="194">
        <v>0.7</v>
      </c>
      <c r="V81" s="194">
        <v>10</v>
      </c>
      <c r="W81" s="194"/>
      <c r="X81" s="194"/>
      <c r="Y81" s="194"/>
      <c r="Z81" s="194"/>
      <c r="AA81" s="194"/>
      <c r="AB81" s="194"/>
      <c r="AC81" s="194"/>
      <c r="AD81" s="194"/>
      <c r="AE81" s="194"/>
      <c r="AF81" s="194"/>
      <c r="AG81" s="194"/>
      <c r="AH81" s="194"/>
      <c r="AI81" s="194"/>
      <c r="AJ81" s="194"/>
      <c r="AK81" s="194"/>
      <c r="AL81" s="55"/>
      <c r="AM81" s="55"/>
      <c r="AN81" s="55"/>
      <c r="AO81" s="55"/>
      <c r="AP81" s="55"/>
      <c r="AQ81" s="55"/>
      <c r="AR81" s="55"/>
      <c r="AS81" s="55"/>
      <c r="AT81" s="55"/>
      <c r="AU81" s="55"/>
      <c r="AV81" s="55"/>
      <c r="AW81" s="55"/>
      <c r="AX81" s="55"/>
      <c r="AY81" s="55"/>
      <c r="AZ81" s="55"/>
      <c r="BA81" s="55"/>
      <c r="BB81" s="55"/>
      <c r="BC81" s="55"/>
      <c r="BD81" s="55"/>
      <c r="BE81" s="55"/>
      <c r="BF81" s="55"/>
      <c r="BG81" s="55"/>
      <c r="BH81" s="55"/>
      <c r="BI81" s="55"/>
    </row>
    <row r="82" spans="1:61" x14ac:dyDescent="0.3">
      <c r="A82" s="193" t="s">
        <v>498</v>
      </c>
      <c r="B82" s="194">
        <v>0</v>
      </c>
      <c r="C82" s="194">
        <v>0</v>
      </c>
      <c r="D82" s="194">
        <v>2</v>
      </c>
      <c r="E82" s="194">
        <v>0.2</v>
      </c>
      <c r="F82" s="194">
        <v>0</v>
      </c>
      <c r="G82" s="194">
        <v>2</v>
      </c>
      <c r="H82" s="194">
        <v>0.2</v>
      </c>
      <c r="I82" s="194">
        <v>1</v>
      </c>
      <c r="J82" s="194">
        <v>1</v>
      </c>
      <c r="K82" s="194">
        <v>0.33300000000000002</v>
      </c>
      <c r="L82" s="194">
        <v>0</v>
      </c>
      <c r="M82" s="194">
        <v>2</v>
      </c>
      <c r="N82" s="194">
        <v>0.16700000000000001</v>
      </c>
      <c r="O82" s="194">
        <v>0.33300000000000002</v>
      </c>
      <c r="P82" s="194">
        <v>3</v>
      </c>
      <c r="Q82" s="194">
        <v>0.2</v>
      </c>
      <c r="R82" s="194">
        <v>0</v>
      </c>
      <c r="S82" s="194">
        <v>1</v>
      </c>
      <c r="T82" s="194">
        <v>0</v>
      </c>
      <c r="U82" s="194">
        <v>0</v>
      </c>
      <c r="V82" s="194">
        <v>1</v>
      </c>
      <c r="W82" s="194"/>
      <c r="X82" s="194"/>
      <c r="Y82" s="194"/>
      <c r="Z82" s="194"/>
      <c r="AA82" s="194"/>
      <c r="AB82" s="194"/>
      <c r="AC82" s="194"/>
      <c r="AD82" s="194"/>
      <c r="AE82" s="194"/>
      <c r="AF82" s="194"/>
      <c r="AG82" s="194"/>
      <c r="AH82" s="194"/>
      <c r="AI82" s="194"/>
      <c r="AJ82" s="194"/>
      <c r="AK82" s="194"/>
      <c r="AL82" s="55"/>
      <c r="AM82" s="55"/>
      <c r="AN82" s="55"/>
      <c r="AO82" s="55"/>
      <c r="AP82" s="55"/>
      <c r="AQ82" s="55"/>
      <c r="AR82" s="55"/>
      <c r="AS82" s="55"/>
      <c r="AT82" s="55"/>
      <c r="AU82" s="55"/>
      <c r="AV82" s="55"/>
      <c r="AW82" s="55"/>
      <c r="AX82" s="55"/>
      <c r="AY82" s="55"/>
      <c r="AZ82" s="55"/>
      <c r="BA82" s="55"/>
      <c r="BB82" s="55"/>
      <c r="BC82" s="55"/>
      <c r="BD82" s="55"/>
      <c r="BE82" s="55"/>
      <c r="BF82" s="55"/>
      <c r="BG82" s="55"/>
      <c r="BH82" s="55"/>
      <c r="BI82" s="55"/>
    </row>
    <row r="83" spans="1:61" x14ac:dyDescent="0.3">
      <c r="A83" s="193" t="s">
        <v>372</v>
      </c>
      <c r="B83" s="194">
        <v>0.6</v>
      </c>
      <c r="C83" s="194">
        <v>0.66700000000000004</v>
      </c>
      <c r="D83" s="194">
        <v>3</v>
      </c>
      <c r="E83" s="194">
        <v>0.55600000000000005</v>
      </c>
      <c r="F83" s="194">
        <v>0.5</v>
      </c>
      <c r="G83" s="194">
        <v>2</v>
      </c>
      <c r="H83" s="194">
        <v>0.54500000000000004</v>
      </c>
      <c r="I83" s="194">
        <v>0.5</v>
      </c>
      <c r="J83" s="194">
        <v>4</v>
      </c>
      <c r="K83" s="194">
        <v>0.68799999999999994</v>
      </c>
      <c r="L83" s="194">
        <v>0.6</v>
      </c>
      <c r="M83" s="194">
        <v>5</v>
      </c>
      <c r="N83" s="194">
        <v>0.55600000000000005</v>
      </c>
      <c r="O83" s="194">
        <v>0.85699999999999998</v>
      </c>
      <c r="P83" s="194">
        <v>7</v>
      </c>
      <c r="Q83" s="194">
        <v>0.59099999999999997</v>
      </c>
      <c r="R83" s="194">
        <v>0.16700000000000001</v>
      </c>
      <c r="S83" s="194">
        <v>6</v>
      </c>
      <c r="T83" s="194">
        <v>0.46700000000000003</v>
      </c>
      <c r="U83" s="194">
        <v>0.66700000000000004</v>
      </c>
      <c r="V83" s="194">
        <v>9</v>
      </c>
      <c r="W83" s="194"/>
      <c r="X83" s="194"/>
      <c r="Y83" s="194"/>
      <c r="Z83" s="194"/>
      <c r="AA83" s="194"/>
      <c r="AB83" s="194"/>
      <c r="AC83" s="194"/>
      <c r="AD83" s="194"/>
      <c r="AE83" s="194"/>
      <c r="AF83" s="194"/>
      <c r="AG83" s="194"/>
      <c r="AH83" s="194"/>
      <c r="AI83" s="194"/>
      <c r="AJ83" s="194"/>
      <c r="AK83" s="194"/>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row>
    <row r="84" spans="1:61" x14ac:dyDescent="0.3">
      <c r="A84" s="193" t="s">
        <v>354</v>
      </c>
      <c r="B84" s="194">
        <v>0.8</v>
      </c>
      <c r="C84" s="194">
        <v>0.75</v>
      </c>
      <c r="D84" s="194">
        <v>4</v>
      </c>
      <c r="E84" s="194">
        <v>0.5</v>
      </c>
      <c r="F84" s="194">
        <v>1</v>
      </c>
      <c r="G84" s="194">
        <v>1</v>
      </c>
      <c r="H84" s="194">
        <v>0.5</v>
      </c>
      <c r="I84" s="194">
        <v>0.28599999999999998</v>
      </c>
      <c r="J84" s="194">
        <v>7</v>
      </c>
      <c r="K84" s="194">
        <v>0.5</v>
      </c>
      <c r="L84" s="194">
        <v>0.625</v>
      </c>
      <c r="M84" s="194">
        <v>8</v>
      </c>
      <c r="N84" s="194">
        <v>0.69199999999999995</v>
      </c>
      <c r="O84" s="194">
        <v>0.66700000000000004</v>
      </c>
      <c r="P84" s="194">
        <v>3</v>
      </c>
      <c r="Q84" s="194">
        <v>0.71399999999999997</v>
      </c>
      <c r="R84" s="194">
        <v>1</v>
      </c>
      <c r="S84" s="194">
        <v>2</v>
      </c>
      <c r="T84" s="194">
        <v>0.72699999999999998</v>
      </c>
      <c r="U84" s="194">
        <v>0.66700000000000004</v>
      </c>
      <c r="V84" s="194">
        <v>9</v>
      </c>
      <c r="W84" s="194"/>
      <c r="X84" s="194"/>
      <c r="Y84" s="194"/>
      <c r="Z84" s="194"/>
      <c r="AA84" s="194"/>
      <c r="AB84" s="194"/>
      <c r="AC84" s="194"/>
      <c r="AD84" s="194"/>
      <c r="AE84" s="194"/>
      <c r="AF84" s="194"/>
      <c r="AG84" s="194"/>
      <c r="AH84" s="194"/>
      <c r="AI84" s="194"/>
      <c r="AJ84" s="194"/>
      <c r="AK84" s="194"/>
      <c r="AL84" s="55"/>
      <c r="AM84" s="55"/>
      <c r="AN84" s="55"/>
      <c r="AO84" s="55"/>
      <c r="AP84" s="55"/>
      <c r="AQ84" s="55"/>
      <c r="AR84" s="55"/>
      <c r="AS84" s="55"/>
      <c r="AT84" s="55"/>
      <c r="AU84" s="55"/>
      <c r="AV84" s="55"/>
      <c r="AW84" s="55"/>
      <c r="AX84" s="55"/>
      <c r="AY84" s="55"/>
      <c r="AZ84" s="55"/>
      <c r="BA84" s="55"/>
      <c r="BB84" s="55"/>
      <c r="BC84" s="55"/>
      <c r="BD84" s="55"/>
      <c r="BE84" s="55"/>
      <c r="BF84" s="55"/>
      <c r="BG84" s="55"/>
      <c r="BH84" s="55"/>
      <c r="BI84" s="55"/>
    </row>
    <row r="85" spans="1:61" x14ac:dyDescent="0.3">
      <c r="A85" s="193" t="s">
        <v>390</v>
      </c>
      <c r="B85" s="194">
        <v>0.68300000000000005</v>
      </c>
      <c r="C85" s="194">
        <v>0.63300000000000001</v>
      </c>
      <c r="D85" s="194">
        <v>30</v>
      </c>
      <c r="E85" s="194">
        <v>0.57699999999999996</v>
      </c>
      <c r="F85" s="194">
        <v>0.72699999999999998</v>
      </c>
      <c r="G85" s="194">
        <v>33</v>
      </c>
      <c r="H85" s="194">
        <v>0.59799999999999998</v>
      </c>
      <c r="I85" s="194">
        <v>0.38200000000000001</v>
      </c>
      <c r="J85" s="194">
        <v>34</v>
      </c>
      <c r="K85" s="194">
        <v>0.60399999999999998</v>
      </c>
      <c r="L85" s="194">
        <v>0.72</v>
      </c>
      <c r="M85" s="194">
        <v>25</v>
      </c>
      <c r="N85" s="194">
        <v>0.78200000000000003</v>
      </c>
      <c r="O85" s="194">
        <v>0.73</v>
      </c>
      <c r="P85" s="194">
        <v>37</v>
      </c>
      <c r="Q85" s="194">
        <v>0.745</v>
      </c>
      <c r="R85" s="194">
        <v>0.872</v>
      </c>
      <c r="S85" s="194">
        <v>39</v>
      </c>
      <c r="T85" s="194">
        <v>0.753</v>
      </c>
      <c r="U85" s="194">
        <v>0.61799999999999999</v>
      </c>
      <c r="V85" s="194">
        <v>34</v>
      </c>
      <c r="W85" s="194"/>
      <c r="X85" s="194"/>
      <c r="Y85" s="194"/>
      <c r="Z85" s="194"/>
      <c r="AA85" s="194"/>
      <c r="AB85" s="194"/>
      <c r="AC85" s="194"/>
      <c r="AD85" s="194"/>
      <c r="AE85" s="194"/>
      <c r="AF85" s="194"/>
      <c r="AG85" s="194"/>
      <c r="AH85" s="194"/>
      <c r="AI85" s="194"/>
      <c r="AJ85" s="194"/>
      <c r="AK85" s="194"/>
      <c r="AL85" s="55"/>
      <c r="AM85" s="55"/>
      <c r="AN85" s="55"/>
      <c r="AO85" s="55"/>
      <c r="AP85" s="55"/>
      <c r="AQ85" s="55"/>
      <c r="AR85" s="55"/>
      <c r="AS85" s="55"/>
      <c r="AT85" s="55"/>
      <c r="AU85" s="55"/>
      <c r="AV85" s="55"/>
      <c r="AW85" s="55"/>
      <c r="AX85" s="55"/>
      <c r="AY85" s="55"/>
      <c r="AZ85" s="55"/>
      <c r="BA85" s="55"/>
      <c r="BB85" s="55"/>
      <c r="BC85" s="55"/>
      <c r="BD85" s="55"/>
      <c r="BE85" s="55"/>
      <c r="BF85" s="55"/>
      <c r="BG85" s="55"/>
      <c r="BH85" s="55"/>
      <c r="BI85" s="55"/>
    </row>
    <row r="86" spans="1:61" x14ac:dyDescent="0.3">
      <c r="A86" s="193" t="s">
        <v>548</v>
      </c>
      <c r="B86" s="194">
        <v>0.93799999999999994</v>
      </c>
      <c r="C86" s="194">
        <v>0.95499999999999996</v>
      </c>
      <c r="D86" s="194">
        <v>22</v>
      </c>
      <c r="E86" s="194">
        <v>0.95899999999999996</v>
      </c>
      <c r="F86" s="194">
        <v>0.9</v>
      </c>
      <c r="G86" s="194">
        <v>10</v>
      </c>
      <c r="H86" s="194">
        <v>0.95699999999999996</v>
      </c>
      <c r="I86" s="194">
        <v>1</v>
      </c>
      <c r="J86" s="194">
        <v>17</v>
      </c>
      <c r="K86" s="194">
        <v>0.94499999999999995</v>
      </c>
      <c r="L86" s="194">
        <v>0.94699999999999995</v>
      </c>
      <c r="M86" s="194">
        <v>19</v>
      </c>
      <c r="N86" s="194">
        <v>0.91200000000000003</v>
      </c>
      <c r="O86" s="194">
        <v>0.89500000000000002</v>
      </c>
      <c r="P86" s="194">
        <v>19</v>
      </c>
      <c r="Q86" s="194">
        <v>0.91400000000000003</v>
      </c>
      <c r="R86" s="194">
        <v>0.89500000000000002</v>
      </c>
      <c r="S86" s="194">
        <v>19</v>
      </c>
      <c r="T86" s="194">
        <v>0.92300000000000004</v>
      </c>
      <c r="U86" s="194">
        <v>0.95</v>
      </c>
      <c r="V86" s="194">
        <v>20</v>
      </c>
      <c r="W86" s="194"/>
      <c r="X86" s="194"/>
      <c r="Y86" s="194"/>
      <c r="Z86" s="194"/>
      <c r="AA86" s="194"/>
      <c r="AB86" s="194"/>
      <c r="AC86" s="194"/>
      <c r="AD86" s="194"/>
      <c r="AE86" s="194"/>
      <c r="AF86" s="194"/>
      <c r="AG86" s="194"/>
      <c r="AH86" s="194"/>
      <c r="AI86" s="194"/>
      <c r="AJ86" s="194"/>
      <c r="AK86" s="194"/>
      <c r="AL86" s="55"/>
      <c r="AM86" s="55"/>
      <c r="AN86" s="55"/>
      <c r="AO86" s="55"/>
      <c r="AP86" s="55"/>
      <c r="AQ86" s="55"/>
      <c r="AR86" s="55"/>
      <c r="AS86" s="55"/>
      <c r="AT86" s="55"/>
      <c r="AU86" s="55"/>
      <c r="AV86" s="55"/>
      <c r="AW86" s="55"/>
      <c r="AX86" s="55"/>
      <c r="AY86" s="55"/>
      <c r="AZ86" s="55"/>
      <c r="BA86" s="55"/>
      <c r="BB86" s="55"/>
      <c r="BC86" s="55"/>
      <c r="BD86" s="55"/>
      <c r="BE86" s="55"/>
      <c r="BF86" s="55"/>
      <c r="BG86" s="55"/>
      <c r="BH86" s="55"/>
      <c r="BI86" s="55"/>
    </row>
    <row r="87" spans="1:61" x14ac:dyDescent="0.3">
      <c r="A87" s="193" t="s">
        <v>518</v>
      </c>
      <c r="B87" s="194">
        <v>0.68700000000000006</v>
      </c>
      <c r="C87" s="194">
        <v>0.67600000000000005</v>
      </c>
      <c r="D87" s="194">
        <v>34</v>
      </c>
      <c r="E87" s="194">
        <v>0.625</v>
      </c>
      <c r="F87" s="194">
        <v>0.69699999999999995</v>
      </c>
      <c r="G87" s="194">
        <v>33</v>
      </c>
      <c r="H87" s="194">
        <v>0.60199999999999998</v>
      </c>
      <c r="I87" s="194">
        <v>0.48299999999999998</v>
      </c>
      <c r="J87" s="194">
        <v>29</v>
      </c>
      <c r="K87" s="194">
        <v>0.63500000000000001</v>
      </c>
      <c r="L87" s="194">
        <v>0.61299999999999999</v>
      </c>
      <c r="M87" s="194">
        <v>31</v>
      </c>
      <c r="N87" s="194">
        <v>0.63</v>
      </c>
      <c r="O87" s="194">
        <v>0.75</v>
      </c>
      <c r="P87" s="194">
        <v>44</v>
      </c>
      <c r="Q87" s="194">
        <v>0.60799999999999998</v>
      </c>
      <c r="R87" s="194">
        <v>0.44</v>
      </c>
      <c r="S87" s="194">
        <v>25</v>
      </c>
      <c r="T87" s="194">
        <v>0.5</v>
      </c>
      <c r="U87" s="194">
        <v>0.54500000000000004</v>
      </c>
      <c r="V87" s="194">
        <v>33</v>
      </c>
      <c r="W87" s="194"/>
      <c r="X87" s="194"/>
      <c r="Y87" s="194"/>
      <c r="Z87" s="194"/>
      <c r="AA87" s="194"/>
      <c r="AB87" s="194"/>
      <c r="AC87" s="194"/>
      <c r="AD87" s="194"/>
      <c r="AE87" s="194"/>
      <c r="AF87" s="194"/>
      <c r="AG87" s="194"/>
      <c r="AH87" s="194"/>
      <c r="AI87" s="194"/>
      <c r="AJ87" s="194"/>
      <c r="AK87" s="194"/>
      <c r="AL87" s="55"/>
      <c r="AM87" s="55"/>
      <c r="AN87" s="55"/>
      <c r="AO87" s="55"/>
      <c r="AP87" s="55"/>
      <c r="AQ87" s="55"/>
      <c r="AR87" s="55"/>
      <c r="AS87" s="55"/>
      <c r="AT87" s="55"/>
      <c r="AU87" s="55"/>
      <c r="AV87" s="55"/>
      <c r="AW87" s="55"/>
      <c r="AX87" s="55"/>
      <c r="AY87" s="55"/>
      <c r="AZ87" s="55"/>
      <c r="BA87" s="55"/>
      <c r="BB87" s="55"/>
      <c r="BC87" s="55"/>
      <c r="BD87" s="55"/>
      <c r="BE87" s="55"/>
      <c r="BF87" s="55"/>
      <c r="BG87" s="55"/>
      <c r="BH87" s="55"/>
      <c r="BI87" s="55"/>
    </row>
    <row r="88" spans="1:61" x14ac:dyDescent="0.3">
      <c r="A88" s="193" t="s">
        <v>514</v>
      </c>
      <c r="B88" s="194">
        <v>0.5</v>
      </c>
      <c r="C88" s="194">
        <v>0</v>
      </c>
      <c r="D88" s="194">
        <v>2</v>
      </c>
      <c r="E88" s="194">
        <v>0.4</v>
      </c>
      <c r="F88" s="194">
        <v>1</v>
      </c>
      <c r="G88" s="194">
        <v>2</v>
      </c>
      <c r="H88" s="194">
        <v>0.4</v>
      </c>
      <c r="I88" s="194">
        <v>0</v>
      </c>
      <c r="J88" s="194">
        <v>1</v>
      </c>
      <c r="K88" s="194">
        <v>0</v>
      </c>
      <c r="L88" s="194">
        <v>0</v>
      </c>
      <c r="M88" s="194">
        <v>2</v>
      </c>
      <c r="N88" s="194">
        <v>0</v>
      </c>
      <c r="O88" s="194">
        <v>0</v>
      </c>
      <c r="P88" s="194">
        <v>3</v>
      </c>
      <c r="Q88" s="194">
        <v>0.16700000000000001</v>
      </c>
      <c r="R88" s="194">
        <v>0</v>
      </c>
      <c r="S88" s="194">
        <v>1</v>
      </c>
      <c r="T88" s="194">
        <v>0.33300000000000002</v>
      </c>
      <c r="U88" s="194">
        <v>0.5</v>
      </c>
      <c r="V88" s="194">
        <v>2</v>
      </c>
      <c r="W88" s="194"/>
      <c r="X88" s="194"/>
      <c r="Y88" s="194"/>
      <c r="Z88" s="194"/>
      <c r="AA88" s="194"/>
      <c r="AB88" s="194"/>
      <c r="AC88" s="194"/>
      <c r="AD88" s="194"/>
      <c r="AE88" s="194"/>
      <c r="AF88" s="194"/>
      <c r="AG88" s="194"/>
      <c r="AH88" s="194"/>
      <c r="AI88" s="194"/>
      <c r="AJ88" s="194"/>
      <c r="AK88" s="194"/>
      <c r="AL88" s="55"/>
      <c r="AM88" s="55"/>
      <c r="AN88" s="55"/>
      <c r="AO88" s="55"/>
      <c r="AP88" s="55"/>
      <c r="AQ88" s="55"/>
      <c r="AR88" s="55"/>
      <c r="AS88" s="55"/>
      <c r="AT88" s="55"/>
      <c r="AU88" s="55"/>
      <c r="AV88" s="55"/>
      <c r="AW88" s="55"/>
      <c r="AX88" s="55"/>
      <c r="AY88" s="55"/>
      <c r="AZ88" s="55"/>
      <c r="BA88" s="55"/>
      <c r="BB88" s="55"/>
      <c r="BC88" s="55"/>
      <c r="BD88" s="55"/>
      <c r="BE88" s="55"/>
      <c r="BF88" s="55"/>
      <c r="BG88" s="55"/>
      <c r="BH88" s="55"/>
      <c r="BI88" s="55"/>
    </row>
    <row r="89" spans="1:61" x14ac:dyDescent="0.3">
      <c r="A89" s="193" t="s">
        <v>496</v>
      </c>
      <c r="B89" s="194">
        <v>0.84</v>
      </c>
      <c r="C89" s="194">
        <v>0.89200000000000002</v>
      </c>
      <c r="D89" s="194">
        <v>37</v>
      </c>
      <c r="E89" s="194">
        <v>0.80200000000000005</v>
      </c>
      <c r="F89" s="194">
        <v>0.79500000000000004</v>
      </c>
      <c r="G89" s="194">
        <v>44</v>
      </c>
      <c r="H89" s="194">
        <v>0.76400000000000001</v>
      </c>
      <c r="I89" s="194">
        <v>0.72499999999999998</v>
      </c>
      <c r="J89" s="194">
        <v>40</v>
      </c>
      <c r="K89" s="194">
        <v>0.72499999999999998</v>
      </c>
      <c r="L89" s="194">
        <v>0.76900000000000002</v>
      </c>
      <c r="M89" s="194">
        <v>39</v>
      </c>
      <c r="N89" s="194">
        <v>0.74299999999999999</v>
      </c>
      <c r="O89" s="194">
        <v>0.66700000000000004</v>
      </c>
      <c r="P89" s="194">
        <v>30</v>
      </c>
      <c r="Q89" s="194">
        <v>0.71699999999999997</v>
      </c>
      <c r="R89" s="194">
        <v>0.77500000000000002</v>
      </c>
      <c r="S89" s="194">
        <v>40</v>
      </c>
      <c r="T89" s="194">
        <v>0.73499999999999999</v>
      </c>
      <c r="U89" s="194">
        <v>0.69799999999999995</v>
      </c>
      <c r="V89" s="194">
        <v>43</v>
      </c>
      <c r="W89" s="194"/>
      <c r="X89" s="194"/>
      <c r="Y89" s="194"/>
      <c r="Z89" s="194"/>
      <c r="AA89" s="194"/>
      <c r="AB89" s="194"/>
      <c r="AC89" s="194"/>
      <c r="AD89" s="194"/>
      <c r="AE89" s="194"/>
      <c r="AF89" s="194"/>
      <c r="AG89" s="194"/>
      <c r="AH89" s="194"/>
      <c r="AI89" s="194"/>
      <c r="AJ89" s="194"/>
      <c r="AK89" s="194"/>
      <c r="AL89" s="55"/>
      <c r="AM89" s="55"/>
      <c r="AN89" s="55"/>
      <c r="AO89" s="55"/>
      <c r="AP89" s="55"/>
      <c r="AQ89" s="55"/>
      <c r="AR89" s="55"/>
      <c r="AS89" s="55"/>
      <c r="AT89" s="55"/>
      <c r="AU89" s="55"/>
      <c r="AV89" s="55"/>
      <c r="AW89" s="55"/>
      <c r="AX89" s="55"/>
      <c r="AY89" s="55"/>
      <c r="AZ89" s="55"/>
      <c r="BA89" s="55"/>
      <c r="BB89" s="55"/>
      <c r="BC89" s="55"/>
      <c r="BD89" s="55"/>
      <c r="BE89" s="55"/>
      <c r="BF89" s="55"/>
      <c r="BG89" s="55"/>
      <c r="BH89" s="55"/>
      <c r="BI89" s="55"/>
    </row>
    <row r="90" spans="1:61" x14ac:dyDescent="0.3">
      <c r="A90" s="193" t="s">
        <v>359</v>
      </c>
      <c r="B90" s="194">
        <v>0.73099999999999998</v>
      </c>
      <c r="C90" s="194">
        <v>0.75</v>
      </c>
      <c r="D90" s="194">
        <v>12</v>
      </c>
      <c r="E90" s="194">
        <v>0.59</v>
      </c>
      <c r="F90" s="194">
        <v>0.71399999999999997</v>
      </c>
      <c r="G90" s="194">
        <v>14</v>
      </c>
      <c r="H90" s="194">
        <v>0.56299999999999994</v>
      </c>
      <c r="I90" s="194">
        <v>0.308</v>
      </c>
      <c r="J90" s="194">
        <v>13</v>
      </c>
      <c r="K90" s="194">
        <v>0.625</v>
      </c>
      <c r="L90" s="194">
        <v>0.61899999999999999</v>
      </c>
      <c r="M90" s="194">
        <v>21</v>
      </c>
      <c r="N90" s="194">
        <v>0.70399999999999996</v>
      </c>
      <c r="O90" s="194">
        <v>0.81799999999999995</v>
      </c>
      <c r="P90" s="194">
        <v>22</v>
      </c>
      <c r="Q90" s="194">
        <v>0.754</v>
      </c>
      <c r="R90" s="194">
        <v>0.67900000000000005</v>
      </c>
      <c r="S90" s="194">
        <v>28</v>
      </c>
      <c r="T90" s="194">
        <v>0.72099999999999997</v>
      </c>
      <c r="U90" s="194">
        <v>0.8</v>
      </c>
      <c r="V90" s="194">
        <v>15</v>
      </c>
      <c r="W90" s="194"/>
      <c r="X90" s="194"/>
      <c r="Y90" s="194"/>
      <c r="Z90" s="194"/>
      <c r="AA90" s="194"/>
      <c r="AB90" s="194"/>
      <c r="AC90" s="194"/>
      <c r="AD90" s="194"/>
      <c r="AE90" s="194"/>
      <c r="AF90" s="194"/>
      <c r="AG90" s="194"/>
      <c r="AH90" s="194"/>
      <c r="AI90" s="194"/>
      <c r="AJ90" s="194"/>
      <c r="AK90" s="194"/>
      <c r="AL90" s="55"/>
      <c r="AM90" s="55"/>
      <c r="AN90" s="55"/>
      <c r="AO90" s="55"/>
      <c r="AP90" s="55"/>
      <c r="AQ90" s="55"/>
      <c r="AR90" s="55"/>
      <c r="AS90" s="55"/>
      <c r="AT90" s="55"/>
      <c r="AU90" s="55"/>
      <c r="AV90" s="55"/>
      <c r="AW90" s="55"/>
      <c r="AX90" s="55"/>
      <c r="AY90" s="55"/>
      <c r="AZ90" s="55"/>
      <c r="BA90" s="55"/>
      <c r="BB90" s="55"/>
      <c r="BC90" s="55"/>
      <c r="BD90" s="55"/>
      <c r="BE90" s="55"/>
      <c r="BF90" s="55"/>
      <c r="BG90" s="55"/>
      <c r="BH90" s="55"/>
      <c r="BI90" s="55"/>
    </row>
    <row r="91" spans="1:61" x14ac:dyDescent="0.3">
      <c r="A91" s="193" t="s">
        <v>431</v>
      </c>
      <c r="B91" s="194">
        <v>0.70599999999999996</v>
      </c>
      <c r="C91" s="194">
        <v>0.66700000000000004</v>
      </c>
      <c r="D91" s="194">
        <v>6</v>
      </c>
      <c r="E91" s="194">
        <v>0.71899999999999997</v>
      </c>
      <c r="F91" s="194">
        <v>0.72699999999999998</v>
      </c>
      <c r="G91" s="194">
        <v>11</v>
      </c>
      <c r="H91" s="194">
        <v>0.68300000000000005</v>
      </c>
      <c r="I91" s="194">
        <v>0.73299999999999998</v>
      </c>
      <c r="J91" s="194">
        <v>15</v>
      </c>
      <c r="K91" s="194">
        <v>0.745</v>
      </c>
      <c r="L91" s="194">
        <v>0.6</v>
      </c>
      <c r="M91" s="194">
        <v>15</v>
      </c>
      <c r="N91" s="194">
        <v>0.746</v>
      </c>
      <c r="O91" s="194">
        <v>0.85699999999999998</v>
      </c>
      <c r="P91" s="194">
        <v>21</v>
      </c>
      <c r="Q91" s="194">
        <v>0.83799999999999997</v>
      </c>
      <c r="R91" s="194">
        <v>0.74099999999999999</v>
      </c>
      <c r="S91" s="194">
        <v>27</v>
      </c>
      <c r="T91" s="194">
        <v>0.83</v>
      </c>
      <c r="U91" s="194">
        <v>0.95</v>
      </c>
      <c r="V91" s="194">
        <v>20</v>
      </c>
      <c r="W91" s="194"/>
      <c r="X91" s="194"/>
      <c r="Y91" s="194"/>
      <c r="Z91" s="194"/>
      <c r="AA91" s="194"/>
      <c r="AB91" s="194"/>
      <c r="AC91" s="194"/>
      <c r="AD91" s="194"/>
      <c r="AE91" s="194"/>
      <c r="AF91" s="194"/>
      <c r="AG91" s="194"/>
      <c r="AH91" s="194"/>
      <c r="AI91" s="194"/>
      <c r="AJ91" s="194"/>
      <c r="AK91" s="194"/>
      <c r="AL91" s="55"/>
      <c r="AM91" s="55"/>
      <c r="AN91" s="55"/>
      <c r="AO91" s="55"/>
      <c r="AP91" s="55"/>
      <c r="AQ91" s="55"/>
      <c r="AR91" s="55"/>
      <c r="AS91" s="55"/>
      <c r="AT91" s="55"/>
      <c r="AU91" s="55"/>
      <c r="AV91" s="55"/>
      <c r="AW91" s="55"/>
      <c r="AX91" s="55"/>
      <c r="AY91" s="55"/>
      <c r="AZ91" s="55"/>
      <c r="BA91" s="55"/>
      <c r="BB91" s="55"/>
      <c r="BC91" s="55"/>
      <c r="BD91" s="55"/>
      <c r="BE91" s="55"/>
      <c r="BF91" s="55"/>
      <c r="BG91" s="55"/>
      <c r="BH91" s="55"/>
      <c r="BI91" s="55"/>
    </row>
    <row r="92" spans="1:61" x14ac:dyDescent="0.3">
      <c r="A92" s="193" t="s">
        <v>526</v>
      </c>
      <c r="B92" s="194">
        <v>0.26700000000000002</v>
      </c>
      <c r="C92" s="194">
        <v>0.29199999999999998</v>
      </c>
      <c r="D92" s="194">
        <v>24</v>
      </c>
      <c r="E92" s="194">
        <v>0.25700000000000001</v>
      </c>
      <c r="F92" s="194">
        <v>0.23799999999999999</v>
      </c>
      <c r="G92" s="194">
        <v>21</v>
      </c>
      <c r="H92" s="194">
        <v>0.27400000000000002</v>
      </c>
      <c r="I92" s="194">
        <v>0.24099999999999999</v>
      </c>
      <c r="J92" s="194">
        <v>29</v>
      </c>
      <c r="K92" s="194">
        <v>0.34899999999999998</v>
      </c>
      <c r="L92" s="194">
        <v>0.32400000000000001</v>
      </c>
      <c r="M92" s="194">
        <v>34</v>
      </c>
      <c r="N92" s="194">
        <v>0.39500000000000002</v>
      </c>
      <c r="O92" s="194">
        <v>0.52200000000000002</v>
      </c>
      <c r="P92" s="194">
        <v>23</v>
      </c>
      <c r="Q92" s="194">
        <v>0.45200000000000001</v>
      </c>
      <c r="R92" s="194">
        <v>0.36799999999999999</v>
      </c>
      <c r="S92" s="194">
        <v>19</v>
      </c>
      <c r="T92" s="194">
        <v>0.42</v>
      </c>
      <c r="U92" s="194">
        <v>0.45200000000000001</v>
      </c>
      <c r="V92" s="194">
        <v>31</v>
      </c>
      <c r="W92" s="194"/>
      <c r="X92" s="194"/>
      <c r="Y92" s="194"/>
      <c r="Z92" s="194"/>
      <c r="AA92" s="194"/>
      <c r="AB92" s="194"/>
      <c r="AC92" s="194"/>
      <c r="AD92" s="194"/>
      <c r="AE92" s="194"/>
      <c r="AF92" s="194"/>
      <c r="AG92" s="194"/>
      <c r="AH92" s="194"/>
      <c r="AI92" s="194"/>
      <c r="AJ92" s="194"/>
      <c r="AK92" s="194"/>
      <c r="AL92" s="55"/>
      <c r="AM92" s="55"/>
      <c r="AN92" s="55"/>
      <c r="AO92" s="55"/>
      <c r="AP92" s="55"/>
      <c r="AQ92" s="55"/>
      <c r="AR92" s="55"/>
      <c r="AS92" s="55"/>
      <c r="AT92" s="55"/>
      <c r="AU92" s="55"/>
      <c r="AV92" s="55"/>
      <c r="AW92" s="55"/>
      <c r="AX92" s="55"/>
      <c r="AY92" s="55"/>
      <c r="AZ92" s="55"/>
      <c r="BA92" s="55"/>
      <c r="BB92" s="55"/>
      <c r="BC92" s="55"/>
      <c r="BD92" s="55"/>
      <c r="BE92" s="55"/>
      <c r="BF92" s="55"/>
      <c r="BG92" s="55"/>
      <c r="BH92" s="55"/>
      <c r="BI92" s="55"/>
    </row>
    <row r="93" spans="1:61" x14ac:dyDescent="0.3">
      <c r="A93" s="193" t="s">
        <v>435</v>
      </c>
      <c r="B93" s="194">
        <v>0.67300000000000004</v>
      </c>
      <c r="C93" s="194">
        <v>0.71399999999999997</v>
      </c>
      <c r="D93" s="194">
        <v>28</v>
      </c>
      <c r="E93" s="194">
        <v>0.57099999999999995</v>
      </c>
      <c r="F93" s="194">
        <v>0.63</v>
      </c>
      <c r="G93" s="194">
        <v>27</v>
      </c>
      <c r="H93" s="194">
        <v>0.57299999999999995</v>
      </c>
      <c r="I93" s="194">
        <v>0.379</v>
      </c>
      <c r="J93" s="194">
        <v>29</v>
      </c>
      <c r="K93" s="194">
        <v>0.58099999999999996</v>
      </c>
      <c r="L93" s="194">
        <v>0.73099999999999998</v>
      </c>
      <c r="M93" s="194">
        <v>26</v>
      </c>
      <c r="N93" s="194">
        <v>0.60799999999999998</v>
      </c>
      <c r="O93" s="194">
        <v>0.63200000000000001</v>
      </c>
      <c r="P93" s="194">
        <v>38</v>
      </c>
      <c r="Q93" s="194">
        <v>0.55900000000000005</v>
      </c>
      <c r="R93" s="194">
        <v>0.5</v>
      </c>
      <c r="S93" s="194">
        <v>38</v>
      </c>
      <c r="T93" s="194">
        <v>0.52100000000000002</v>
      </c>
      <c r="U93" s="194">
        <v>0.54300000000000004</v>
      </c>
      <c r="V93" s="194">
        <v>35</v>
      </c>
      <c r="W93" s="194"/>
      <c r="X93" s="194"/>
      <c r="Y93" s="194"/>
      <c r="Z93" s="194"/>
      <c r="AA93" s="194"/>
      <c r="AB93" s="194"/>
      <c r="AC93" s="194"/>
      <c r="AD93" s="194"/>
      <c r="AE93" s="194"/>
      <c r="AF93" s="194"/>
      <c r="AG93" s="194"/>
      <c r="AH93" s="194"/>
      <c r="AI93" s="194"/>
      <c r="AJ93" s="194"/>
      <c r="AK93" s="194"/>
      <c r="AL93" s="55"/>
      <c r="AM93" s="55"/>
      <c r="AN93" s="55"/>
      <c r="AO93" s="55"/>
      <c r="AP93" s="55"/>
      <c r="AQ93" s="55"/>
      <c r="AR93" s="55"/>
      <c r="AS93" s="55"/>
      <c r="AT93" s="55"/>
      <c r="AU93" s="55"/>
      <c r="AV93" s="55"/>
      <c r="AW93" s="55"/>
      <c r="AX93" s="55"/>
      <c r="AY93" s="55"/>
      <c r="AZ93" s="55"/>
      <c r="BA93" s="55"/>
      <c r="BB93" s="55"/>
      <c r="BC93" s="55"/>
      <c r="BD93" s="55"/>
      <c r="BE93" s="55"/>
      <c r="BF93" s="55"/>
      <c r="BG93" s="55"/>
      <c r="BH93" s="55"/>
      <c r="BI93" s="55"/>
    </row>
    <row r="94" spans="1:61" x14ac:dyDescent="0.3">
      <c r="A94" s="193" t="s">
        <v>267</v>
      </c>
      <c r="B94" s="194">
        <v>0.61899999999999999</v>
      </c>
      <c r="C94" s="194">
        <v>0.45500000000000002</v>
      </c>
      <c r="D94" s="194">
        <v>11</v>
      </c>
      <c r="E94" s="194">
        <v>0.66700000000000004</v>
      </c>
      <c r="F94" s="194">
        <v>0.8</v>
      </c>
      <c r="G94" s="194">
        <v>10</v>
      </c>
      <c r="H94" s="194">
        <v>0.81799999999999995</v>
      </c>
      <c r="I94" s="194">
        <v>0.75</v>
      </c>
      <c r="J94" s="194">
        <v>12</v>
      </c>
      <c r="K94" s="194">
        <v>0.75</v>
      </c>
      <c r="L94" s="194">
        <v>0.86399999999999999</v>
      </c>
      <c r="M94" s="194">
        <v>22</v>
      </c>
      <c r="N94" s="194">
        <v>0.71199999999999997</v>
      </c>
      <c r="O94" s="194">
        <v>0.63600000000000001</v>
      </c>
      <c r="P94" s="194">
        <v>22</v>
      </c>
      <c r="Q94" s="194">
        <v>0.66700000000000004</v>
      </c>
      <c r="R94" s="194">
        <v>0.63600000000000001</v>
      </c>
      <c r="S94" s="194">
        <v>22</v>
      </c>
      <c r="T94" s="194">
        <v>0.68799999999999994</v>
      </c>
      <c r="U94" s="194">
        <v>0.8</v>
      </c>
      <c r="V94" s="194">
        <v>10</v>
      </c>
      <c r="W94" s="194"/>
      <c r="X94" s="194"/>
      <c r="Y94" s="194"/>
      <c r="Z94" s="194"/>
      <c r="AA94" s="194"/>
      <c r="AB94" s="194"/>
      <c r="AC94" s="194"/>
      <c r="AD94" s="194"/>
      <c r="AE94" s="194"/>
      <c r="AF94" s="194"/>
      <c r="AG94" s="194"/>
      <c r="AH94" s="194"/>
      <c r="AI94" s="194"/>
      <c r="AJ94" s="194"/>
      <c r="AK94" s="194"/>
      <c r="AL94" s="55"/>
      <c r="AM94" s="55"/>
      <c r="AN94" s="55"/>
      <c r="AO94" s="55"/>
      <c r="AP94" s="55"/>
      <c r="AQ94" s="55"/>
      <c r="AR94" s="55"/>
      <c r="AS94" s="55"/>
      <c r="AT94" s="55"/>
      <c r="AU94" s="55"/>
      <c r="AV94" s="55"/>
      <c r="AW94" s="55"/>
      <c r="AX94" s="55"/>
      <c r="AY94" s="55"/>
      <c r="AZ94" s="55"/>
      <c r="BA94" s="55"/>
      <c r="BB94" s="55"/>
      <c r="BC94" s="55"/>
      <c r="BD94" s="55"/>
      <c r="BE94" s="55"/>
      <c r="BF94" s="55"/>
      <c r="BG94" s="55"/>
      <c r="BH94" s="55"/>
      <c r="BI94" s="55"/>
    </row>
    <row r="95" spans="1:61" x14ac:dyDescent="0.3">
      <c r="A95" s="193" t="s">
        <v>484</v>
      </c>
      <c r="B95" s="194">
        <v>0.64100000000000001</v>
      </c>
      <c r="C95" s="194">
        <v>0.66700000000000004</v>
      </c>
      <c r="D95" s="194">
        <v>21</v>
      </c>
      <c r="E95" s="194">
        <v>0.72899999999999998</v>
      </c>
      <c r="F95" s="194">
        <v>0.61099999999999999</v>
      </c>
      <c r="G95" s="194">
        <v>18</v>
      </c>
      <c r="H95" s="194">
        <v>0.73699999999999999</v>
      </c>
      <c r="I95" s="194">
        <v>0.9</v>
      </c>
      <c r="J95" s="194">
        <v>20</v>
      </c>
      <c r="K95" s="194">
        <v>0.76100000000000001</v>
      </c>
      <c r="L95" s="194">
        <v>0.68400000000000005</v>
      </c>
      <c r="M95" s="194">
        <v>19</v>
      </c>
      <c r="N95" s="194">
        <v>0.65300000000000002</v>
      </c>
      <c r="O95" s="194">
        <v>0.71399999999999997</v>
      </c>
      <c r="P95" s="194">
        <v>28</v>
      </c>
      <c r="Q95" s="194">
        <v>0.65800000000000003</v>
      </c>
      <c r="R95" s="194">
        <v>0.57099999999999995</v>
      </c>
      <c r="S95" s="194">
        <v>28</v>
      </c>
      <c r="T95" s="194">
        <v>0.627</v>
      </c>
      <c r="U95" s="194">
        <v>0.69599999999999995</v>
      </c>
      <c r="V95" s="194">
        <v>23</v>
      </c>
      <c r="W95" s="194"/>
      <c r="X95" s="194"/>
      <c r="Y95" s="194"/>
      <c r="Z95" s="194"/>
      <c r="AA95" s="194"/>
      <c r="AB95" s="194"/>
      <c r="AC95" s="194"/>
      <c r="AD95" s="194"/>
      <c r="AE95" s="194"/>
      <c r="AF95" s="194"/>
      <c r="AG95" s="194"/>
      <c r="AH95" s="194"/>
      <c r="AI95" s="194"/>
      <c r="AJ95" s="194"/>
      <c r="AK95" s="194"/>
      <c r="AL95" s="55"/>
      <c r="AM95" s="55"/>
      <c r="AN95" s="55"/>
      <c r="AO95" s="55"/>
      <c r="AP95" s="55"/>
      <c r="AQ95" s="55"/>
      <c r="AR95" s="55"/>
      <c r="AS95" s="55"/>
      <c r="AT95" s="55"/>
      <c r="AU95" s="55"/>
      <c r="AV95" s="55"/>
      <c r="AW95" s="55"/>
      <c r="AX95" s="55"/>
      <c r="AY95" s="55"/>
      <c r="AZ95" s="55"/>
      <c r="BA95" s="55"/>
      <c r="BB95" s="55"/>
      <c r="BC95" s="55"/>
      <c r="BD95" s="55"/>
      <c r="BE95" s="55"/>
      <c r="BF95" s="55"/>
      <c r="BG95" s="55"/>
      <c r="BH95" s="55"/>
      <c r="BI95" s="55"/>
    </row>
    <row r="96" spans="1:61" x14ac:dyDescent="0.3">
      <c r="A96" s="193" t="s">
        <v>470</v>
      </c>
      <c r="B96" s="194">
        <v>0.58099999999999996</v>
      </c>
      <c r="C96" s="194">
        <v>0.58299999999999996</v>
      </c>
      <c r="D96" s="194">
        <v>12</v>
      </c>
      <c r="E96" s="194">
        <v>0.55300000000000005</v>
      </c>
      <c r="F96" s="194">
        <v>0.57899999999999996</v>
      </c>
      <c r="G96" s="194">
        <v>19</v>
      </c>
      <c r="H96" s="194">
        <v>0.46899999999999997</v>
      </c>
      <c r="I96" s="194">
        <v>0.5</v>
      </c>
      <c r="J96" s="194">
        <v>16</v>
      </c>
      <c r="K96" s="194">
        <v>0.51</v>
      </c>
      <c r="L96" s="194">
        <v>0.28599999999999998</v>
      </c>
      <c r="M96" s="194">
        <v>14</v>
      </c>
      <c r="N96" s="194">
        <v>0.51</v>
      </c>
      <c r="O96" s="194">
        <v>0.68400000000000005</v>
      </c>
      <c r="P96" s="194">
        <v>19</v>
      </c>
      <c r="Q96" s="194">
        <v>0.61199999999999999</v>
      </c>
      <c r="R96" s="194">
        <v>0.5</v>
      </c>
      <c r="S96" s="194">
        <v>18</v>
      </c>
      <c r="T96" s="194">
        <v>0.56699999999999995</v>
      </c>
      <c r="U96" s="194">
        <v>0.66700000000000004</v>
      </c>
      <c r="V96" s="194">
        <v>12</v>
      </c>
      <c r="W96" s="194"/>
      <c r="X96" s="194"/>
      <c r="Y96" s="194"/>
      <c r="Z96" s="194"/>
      <c r="AA96" s="194"/>
      <c r="AB96" s="194"/>
      <c r="AC96" s="194"/>
      <c r="AD96" s="194"/>
      <c r="AE96" s="194"/>
      <c r="AF96" s="194"/>
      <c r="AG96" s="194"/>
      <c r="AH96" s="194"/>
      <c r="AI96" s="194"/>
      <c r="AJ96" s="194"/>
      <c r="AK96" s="194"/>
      <c r="AL96" s="55"/>
      <c r="AM96" s="55"/>
      <c r="AN96" s="55"/>
      <c r="AO96" s="55"/>
      <c r="AP96" s="55"/>
      <c r="AQ96" s="55"/>
      <c r="AR96" s="55"/>
      <c r="AS96" s="55"/>
      <c r="AT96" s="55"/>
      <c r="AU96" s="55"/>
      <c r="AV96" s="55"/>
      <c r="AW96" s="55"/>
      <c r="AX96" s="55"/>
      <c r="AY96" s="55"/>
      <c r="AZ96" s="55"/>
      <c r="BA96" s="55"/>
      <c r="BB96" s="55"/>
      <c r="BC96" s="55"/>
      <c r="BD96" s="55"/>
      <c r="BE96" s="55"/>
      <c r="BF96" s="55"/>
      <c r="BG96" s="55"/>
      <c r="BH96" s="55"/>
      <c r="BI96" s="55"/>
    </row>
    <row r="97" spans="1:61" x14ac:dyDescent="0.3">
      <c r="A97" s="193" t="s">
        <v>530</v>
      </c>
      <c r="B97" s="194">
        <v>0.58299999999999996</v>
      </c>
      <c r="C97" s="194">
        <v>0.54500000000000004</v>
      </c>
      <c r="D97" s="194">
        <v>11</v>
      </c>
      <c r="E97" s="194">
        <v>0.55900000000000005</v>
      </c>
      <c r="F97" s="194">
        <v>0.61499999999999999</v>
      </c>
      <c r="G97" s="194">
        <v>13</v>
      </c>
      <c r="H97" s="194">
        <v>0.55200000000000005</v>
      </c>
      <c r="I97" s="194">
        <v>0.5</v>
      </c>
      <c r="J97" s="194">
        <v>10</v>
      </c>
      <c r="K97" s="194">
        <v>0.54500000000000004</v>
      </c>
      <c r="L97" s="194">
        <v>0.5</v>
      </c>
      <c r="M97" s="194">
        <v>6</v>
      </c>
      <c r="N97" s="194">
        <v>0.52900000000000003</v>
      </c>
      <c r="O97" s="194">
        <v>0.66700000000000004</v>
      </c>
      <c r="P97" s="194">
        <v>6</v>
      </c>
      <c r="Q97" s="194">
        <v>0.625</v>
      </c>
      <c r="R97" s="194">
        <v>0.4</v>
      </c>
      <c r="S97" s="194">
        <v>5</v>
      </c>
      <c r="T97" s="194">
        <v>0.6</v>
      </c>
      <c r="U97" s="194">
        <v>0.8</v>
      </c>
      <c r="V97" s="194">
        <v>5</v>
      </c>
      <c r="W97" s="194"/>
      <c r="X97" s="194"/>
      <c r="Y97" s="194"/>
      <c r="Z97" s="194"/>
      <c r="AA97" s="194"/>
      <c r="AB97" s="194"/>
      <c r="AC97" s="194"/>
      <c r="AD97" s="194"/>
      <c r="AE97" s="194"/>
      <c r="AF97" s="194"/>
      <c r="AG97" s="194"/>
      <c r="AH97" s="194"/>
      <c r="AI97" s="194"/>
      <c r="AJ97" s="194"/>
      <c r="AK97" s="194"/>
      <c r="AL97" s="55"/>
      <c r="AM97" s="55"/>
      <c r="AN97" s="55"/>
      <c r="AO97" s="55"/>
      <c r="AP97" s="55"/>
      <c r="AQ97" s="55"/>
      <c r="AR97" s="55"/>
      <c r="AS97" s="55"/>
      <c r="AT97" s="55"/>
      <c r="AU97" s="55"/>
      <c r="AV97" s="55"/>
      <c r="AW97" s="55"/>
      <c r="AX97" s="55"/>
      <c r="AY97" s="55"/>
      <c r="AZ97" s="55"/>
      <c r="BA97" s="55"/>
      <c r="BB97" s="55"/>
      <c r="BC97" s="55"/>
      <c r="BD97" s="55"/>
      <c r="BE97" s="55"/>
      <c r="BF97" s="55"/>
      <c r="BG97" s="55"/>
      <c r="BH97" s="55"/>
      <c r="BI97" s="55"/>
    </row>
    <row r="98" spans="1:61" x14ac:dyDescent="0.3">
      <c r="A98" s="193" t="s">
        <v>416</v>
      </c>
      <c r="B98" s="194">
        <v>0.60199999999999998</v>
      </c>
      <c r="C98" s="194">
        <v>0.6</v>
      </c>
      <c r="D98" s="194">
        <v>40</v>
      </c>
      <c r="E98" s="194">
        <v>0.54</v>
      </c>
      <c r="F98" s="194">
        <v>0.60399999999999998</v>
      </c>
      <c r="G98" s="194">
        <v>53</v>
      </c>
      <c r="H98" s="194">
        <v>0.56299999999999994</v>
      </c>
      <c r="I98" s="194">
        <v>0.45600000000000002</v>
      </c>
      <c r="J98" s="194">
        <v>68</v>
      </c>
      <c r="K98" s="194">
        <v>0.58499999999999996</v>
      </c>
      <c r="L98" s="194">
        <v>0.63800000000000001</v>
      </c>
      <c r="M98" s="194">
        <v>69</v>
      </c>
      <c r="N98" s="194">
        <v>0.65800000000000003</v>
      </c>
      <c r="O98" s="194">
        <v>0.68600000000000005</v>
      </c>
      <c r="P98" s="194">
        <v>51</v>
      </c>
      <c r="Q98" s="194">
        <v>0.68600000000000005</v>
      </c>
      <c r="R98" s="194">
        <v>0.65600000000000003</v>
      </c>
      <c r="S98" s="194">
        <v>64</v>
      </c>
      <c r="T98" s="194">
        <v>0.68600000000000005</v>
      </c>
      <c r="U98" s="194">
        <v>0.71899999999999997</v>
      </c>
      <c r="V98" s="194">
        <v>57</v>
      </c>
      <c r="W98" s="194"/>
      <c r="X98" s="194"/>
      <c r="Y98" s="194"/>
      <c r="Z98" s="194"/>
      <c r="AA98" s="194"/>
      <c r="AB98" s="194"/>
      <c r="AC98" s="194"/>
      <c r="AD98" s="194"/>
      <c r="AE98" s="194"/>
      <c r="AF98" s="194"/>
      <c r="AG98" s="194"/>
      <c r="AH98" s="194"/>
      <c r="AI98" s="194"/>
      <c r="AJ98" s="194"/>
      <c r="AK98" s="194"/>
      <c r="AL98" s="55"/>
      <c r="AM98" s="55"/>
      <c r="AN98" s="55"/>
      <c r="AO98" s="55"/>
      <c r="AP98" s="55"/>
      <c r="AQ98" s="55"/>
      <c r="AR98" s="55"/>
      <c r="AS98" s="55"/>
      <c r="AT98" s="55"/>
      <c r="AU98" s="55"/>
      <c r="AV98" s="55"/>
      <c r="AW98" s="55"/>
      <c r="AX98" s="55"/>
      <c r="AY98" s="55"/>
      <c r="AZ98" s="55"/>
      <c r="BA98" s="55"/>
      <c r="BB98" s="55"/>
      <c r="BC98" s="55"/>
      <c r="BD98" s="55"/>
      <c r="BE98" s="55"/>
      <c r="BF98" s="55"/>
      <c r="BG98" s="55"/>
      <c r="BH98" s="55"/>
      <c r="BI98" s="55"/>
    </row>
    <row r="99" spans="1:61" x14ac:dyDescent="0.3">
      <c r="A99" s="193" t="s">
        <v>350</v>
      </c>
      <c r="B99" s="194">
        <v>0.57899999999999996</v>
      </c>
      <c r="C99" s="194">
        <v>0.6</v>
      </c>
      <c r="D99" s="194">
        <v>5</v>
      </c>
      <c r="E99" s="194">
        <v>0.61299999999999999</v>
      </c>
      <c r="F99" s="194">
        <v>0.57099999999999995</v>
      </c>
      <c r="G99" s="194">
        <v>14</v>
      </c>
      <c r="H99" s="194">
        <v>0.64500000000000002</v>
      </c>
      <c r="I99" s="194">
        <v>0.66700000000000004</v>
      </c>
      <c r="J99" s="194">
        <v>12</v>
      </c>
      <c r="K99" s="194">
        <v>0.70799999999999996</v>
      </c>
      <c r="L99" s="194">
        <v>0.8</v>
      </c>
      <c r="M99" s="194">
        <v>5</v>
      </c>
      <c r="N99" s="194">
        <v>0.64700000000000002</v>
      </c>
      <c r="O99" s="194">
        <v>0.71399999999999997</v>
      </c>
      <c r="P99" s="194">
        <v>7</v>
      </c>
      <c r="Q99" s="194">
        <v>0.41199999999999998</v>
      </c>
      <c r="R99" s="194">
        <v>0.4</v>
      </c>
      <c r="S99" s="194">
        <v>5</v>
      </c>
      <c r="T99" s="194">
        <v>0.2</v>
      </c>
      <c r="U99" s="194">
        <v>0</v>
      </c>
      <c r="V99" s="194">
        <v>5</v>
      </c>
      <c r="W99" s="194"/>
      <c r="X99" s="194"/>
      <c r="Y99" s="194"/>
      <c r="Z99" s="194"/>
      <c r="AA99" s="194"/>
      <c r="AB99" s="194"/>
      <c r="AC99" s="194"/>
      <c r="AD99" s="194"/>
      <c r="AE99" s="194"/>
      <c r="AF99" s="194"/>
      <c r="AG99" s="194"/>
      <c r="AH99" s="194"/>
      <c r="AI99" s="194"/>
      <c r="AJ99" s="194"/>
      <c r="AK99" s="194"/>
      <c r="AL99" s="55"/>
      <c r="AM99" s="55"/>
      <c r="AN99" s="55"/>
      <c r="AO99" s="55"/>
      <c r="AP99" s="55"/>
      <c r="AQ99" s="55"/>
      <c r="AR99" s="55"/>
      <c r="AS99" s="55"/>
      <c r="AT99" s="55"/>
      <c r="AU99" s="55"/>
      <c r="AV99" s="55"/>
      <c r="AW99" s="55"/>
      <c r="AX99" s="55"/>
      <c r="AY99" s="55"/>
      <c r="AZ99" s="55"/>
      <c r="BA99" s="55"/>
      <c r="BB99" s="55"/>
      <c r="BC99" s="55"/>
      <c r="BD99" s="55"/>
      <c r="BE99" s="55"/>
      <c r="BF99" s="55"/>
      <c r="BG99" s="55"/>
      <c r="BH99" s="55"/>
      <c r="BI99" s="55"/>
    </row>
    <row r="100" spans="1:61" x14ac:dyDescent="0.3">
      <c r="A100" s="193" t="s">
        <v>341</v>
      </c>
      <c r="B100" s="194">
        <v>0.70299999999999996</v>
      </c>
      <c r="C100" s="194">
        <v>0.71099999999999997</v>
      </c>
      <c r="D100" s="194">
        <v>38</v>
      </c>
      <c r="E100" s="194">
        <v>0.67600000000000005</v>
      </c>
      <c r="F100" s="194">
        <v>0.69399999999999995</v>
      </c>
      <c r="G100" s="194">
        <v>36</v>
      </c>
      <c r="H100" s="194">
        <v>0.66700000000000004</v>
      </c>
      <c r="I100" s="194">
        <v>0.60699999999999998</v>
      </c>
      <c r="J100" s="194">
        <v>28</v>
      </c>
      <c r="K100" s="194">
        <v>0.63100000000000001</v>
      </c>
      <c r="L100" s="194">
        <v>0.69599999999999995</v>
      </c>
      <c r="M100" s="194">
        <v>23</v>
      </c>
      <c r="N100" s="194">
        <v>0.64700000000000002</v>
      </c>
      <c r="O100" s="194">
        <v>0.60599999999999998</v>
      </c>
      <c r="P100" s="194">
        <v>33</v>
      </c>
      <c r="Q100" s="194">
        <v>0.66</v>
      </c>
      <c r="R100" s="194">
        <v>0.65500000000000003</v>
      </c>
      <c r="S100" s="194">
        <v>29</v>
      </c>
      <c r="T100" s="194">
        <v>0.68799999999999994</v>
      </c>
      <c r="U100" s="194">
        <v>0.71399999999999997</v>
      </c>
      <c r="V100" s="194">
        <v>35</v>
      </c>
      <c r="W100" s="194"/>
      <c r="X100" s="194"/>
      <c r="Y100" s="194"/>
      <c r="Z100" s="194"/>
      <c r="AA100" s="194"/>
      <c r="AB100" s="194"/>
      <c r="AC100" s="194"/>
      <c r="AD100" s="194"/>
      <c r="AE100" s="194"/>
      <c r="AF100" s="194"/>
      <c r="AG100" s="194"/>
      <c r="AH100" s="194"/>
      <c r="AI100" s="194"/>
      <c r="AJ100" s="194"/>
      <c r="AK100" s="194"/>
      <c r="AL100" s="55"/>
      <c r="AM100" s="55"/>
      <c r="AN100" s="55"/>
      <c r="AO100" s="55"/>
      <c r="AP100" s="55"/>
      <c r="AQ100" s="55"/>
      <c r="AR100" s="55"/>
      <c r="AS100" s="55"/>
      <c r="AT100" s="55"/>
      <c r="AU100" s="55"/>
      <c r="AV100" s="55"/>
      <c r="AW100" s="55"/>
      <c r="AX100" s="55"/>
      <c r="AY100" s="55"/>
      <c r="AZ100" s="55"/>
      <c r="BA100" s="55"/>
      <c r="BB100" s="55"/>
      <c r="BC100" s="55"/>
      <c r="BD100" s="55"/>
      <c r="BE100" s="55"/>
      <c r="BF100" s="55"/>
      <c r="BG100" s="55"/>
      <c r="BH100" s="55"/>
      <c r="BI100" s="55"/>
    </row>
    <row r="101" spans="1:61" x14ac:dyDescent="0.3">
      <c r="A101" s="193" t="s">
        <v>423</v>
      </c>
      <c r="B101" s="194">
        <v>0.84</v>
      </c>
      <c r="C101" s="194">
        <v>0.86699999999999999</v>
      </c>
      <c r="D101" s="194">
        <v>15</v>
      </c>
      <c r="E101" s="194">
        <v>0.67600000000000005</v>
      </c>
      <c r="F101" s="194">
        <v>0.8</v>
      </c>
      <c r="G101" s="194">
        <v>10</v>
      </c>
      <c r="H101" s="194">
        <v>0.57599999999999996</v>
      </c>
      <c r="I101" s="194">
        <v>0.33300000000000002</v>
      </c>
      <c r="J101" s="194">
        <v>12</v>
      </c>
      <c r="K101" s="194">
        <v>0.58799999999999997</v>
      </c>
      <c r="L101" s="194">
        <v>0.63600000000000001</v>
      </c>
      <c r="M101" s="194">
        <v>11</v>
      </c>
      <c r="N101" s="194">
        <v>0.79400000000000004</v>
      </c>
      <c r="O101" s="194">
        <v>0.81799999999999995</v>
      </c>
      <c r="P101" s="194">
        <v>11</v>
      </c>
      <c r="Q101" s="194">
        <v>0.73299999999999998</v>
      </c>
      <c r="R101" s="194">
        <v>0.91700000000000004</v>
      </c>
      <c r="S101" s="194">
        <v>12</v>
      </c>
      <c r="T101" s="194">
        <v>0.70599999999999996</v>
      </c>
      <c r="U101" s="194">
        <v>0.59099999999999997</v>
      </c>
      <c r="V101" s="194">
        <v>22</v>
      </c>
      <c r="W101" s="194"/>
      <c r="X101" s="194"/>
      <c r="Y101" s="194"/>
      <c r="Z101" s="194"/>
      <c r="AA101" s="194"/>
      <c r="AB101" s="194"/>
      <c r="AC101" s="194"/>
      <c r="AD101" s="194"/>
      <c r="AE101" s="194"/>
      <c r="AF101" s="194"/>
      <c r="AG101" s="194"/>
      <c r="AH101" s="194"/>
      <c r="AI101" s="194"/>
      <c r="AJ101" s="194"/>
      <c r="AK101" s="194"/>
      <c r="AL101" s="55"/>
      <c r="AM101" s="55"/>
      <c r="AN101" s="55"/>
      <c r="AO101" s="55"/>
      <c r="AP101" s="55"/>
      <c r="AQ101" s="55"/>
      <c r="AR101" s="55"/>
      <c r="AS101" s="55"/>
      <c r="AT101" s="55"/>
      <c r="AU101" s="55"/>
      <c r="AV101" s="55"/>
      <c r="AW101" s="55"/>
      <c r="AX101" s="55"/>
      <c r="AY101" s="55"/>
      <c r="AZ101" s="55"/>
      <c r="BA101" s="55"/>
      <c r="BB101" s="55"/>
      <c r="BC101" s="55"/>
      <c r="BD101" s="55"/>
      <c r="BE101" s="55"/>
      <c r="BF101" s="55"/>
      <c r="BG101" s="55"/>
      <c r="BH101" s="55"/>
      <c r="BI101" s="55"/>
    </row>
    <row r="102" spans="1:61" x14ac:dyDescent="0.3">
      <c r="A102" s="193" t="s">
        <v>374</v>
      </c>
      <c r="B102" s="194">
        <v>0.71399999999999997</v>
      </c>
      <c r="C102" s="194">
        <v>0.89300000000000002</v>
      </c>
      <c r="D102" s="194">
        <v>28</v>
      </c>
      <c r="E102" s="194">
        <v>0.71</v>
      </c>
      <c r="F102" s="194">
        <v>0.47599999999999998</v>
      </c>
      <c r="G102" s="194">
        <v>21</v>
      </c>
      <c r="H102" s="194">
        <v>0.67100000000000004</v>
      </c>
      <c r="I102" s="194">
        <v>0.7</v>
      </c>
      <c r="J102" s="194">
        <v>20</v>
      </c>
      <c r="K102" s="194">
        <v>0.78300000000000003</v>
      </c>
      <c r="L102" s="194">
        <v>0.79300000000000004</v>
      </c>
      <c r="M102" s="194">
        <v>29</v>
      </c>
      <c r="N102" s="194">
        <v>0.83299999999999996</v>
      </c>
      <c r="O102" s="194">
        <v>0.85</v>
      </c>
      <c r="P102" s="194">
        <v>20</v>
      </c>
      <c r="Q102" s="194">
        <v>0.87</v>
      </c>
      <c r="R102" s="194">
        <v>0.86199999999999999</v>
      </c>
      <c r="S102" s="194">
        <v>29</v>
      </c>
      <c r="T102" s="194">
        <v>0.877</v>
      </c>
      <c r="U102" s="194">
        <v>0.89300000000000002</v>
      </c>
      <c r="V102" s="194">
        <v>28</v>
      </c>
      <c r="W102" s="194"/>
      <c r="X102" s="194"/>
      <c r="Y102" s="194"/>
      <c r="Z102" s="194"/>
      <c r="AA102" s="194"/>
      <c r="AB102" s="194"/>
      <c r="AC102" s="194"/>
      <c r="AD102" s="194"/>
      <c r="AE102" s="194"/>
      <c r="AF102" s="194"/>
      <c r="AG102" s="194"/>
      <c r="AH102" s="194"/>
      <c r="AI102" s="194"/>
      <c r="AJ102" s="194"/>
      <c r="AK102" s="194"/>
      <c r="AL102" s="55"/>
      <c r="AM102" s="55"/>
      <c r="AN102" s="55"/>
      <c r="AO102" s="55"/>
      <c r="AP102" s="55"/>
      <c r="AQ102" s="55"/>
      <c r="AR102" s="55"/>
      <c r="AS102" s="55"/>
      <c r="AT102" s="55"/>
      <c r="AU102" s="55"/>
      <c r="AV102" s="55"/>
      <c r="AW102" s="55"/>
      <c r="AX102" s="55"/>
      <c r="AY102" s="55"/>
      <c r="AZ102" s="55"/>
      <c r="BA102" s="55"/>
      <c r="BB102" s="55"/>
      <c r="BC102" s="55"/>
      <c r="BD102" s="55"/>
      <c r="BE102" s="55"/>
      <c r="BF102" s="55"/>
      <c r="BG102" s="55"/>
      <c r="BH102" s="55"/>
      <c r="BI102" s="55"/>
    </row>
    <row r="103" spans="1:61" x14ac:dyDescent="0.3">
      <c r="A103" s="193" t="s">
        <v>512</v>
      </c>
      <c r="B103" s="194">
        <v>0.41499999999999998</v>
      </c>
      <c r="C103" s="194">
        <v>0.42299999999999999</v>
      </c>
      <c r="D103" s="194">
        <v>26</v>
      </c>
      <c r="E103" s="194">
        <v>0.36799999999999999</v>
      </c>
      <c r="F103" s="194">
        <v>0.4</v>
      </c>
      <c r="G103" s="194">
        <v>15</v>
      </c>
      <c r="H103" s="194">
        <v>0.51700000000000002</v>
      </c>
      <c r="I103" s="194">
        <v>0.25</v>
      </c>
      <c r="J103" s="194">
        <v>16</v>
      </c>
      <c r="K103" s="194">
        <v>0.63200000000000001</v>
      </c>
      <c r="L103" s="194">
        <v>0.72399999999999998</v>
      </c>
      <c r="M103" s="194">
        <v>29</v>
      </c>
      <c r="N103" s="194">
        <v>0.78700000000000003</v>
      </c>
      <c r="O103" s="194">
        <v>0.78300000000000003</v>
      </c>
      <c r="P103" s="194">
        <v>23</v>
      </c>
      <c r="Q103" s="194">
        <v>0.753</v>
      </c>
      <c r="R103" s="194">
        <v>0.83799999999999997</v>
      </c>
      <c r="S103" s="194">
        <v>37</v>
      </c>
      <c r="T103" s="194">
        <v>0.74199999999999999</v>
      </c>
      <c r="U103" s="194">
        <v>0.6</v>
      </c>
      <c r="V103" s="194">
        <v>25</v>
      </c>
      <c r="W103" s="194"/>
      <c r="X103" s="194"/>
      <c r="Y103" s="194"/>
      <c r="Z103" s="194"/>
      <c r="AA103" s="194"/>
      <c r="AB103" s="194"/>
      <c r="AC103" s="194"/>
      <c r="AD103" s="194"/>
      <c r="AE103" s="194"/>
      <c r="AF103" s="194"/>
      <c r="AG103" s="194"/>
      <c r="AH103" s="194"/>
      <c r="AI103" s="194"/>
      <c r="AJ103" s="194"/>
      <c r="AK103" s="194"/>
      <c r="AL103" s="55"/>
      <c r="AM103" s="55"/>
      <c r="AN103" s="55"/>
      <c r="AO103" s="55"/>
      <c r="AP103" s="55"/>
      <c r="AQ103" s="55"/>
      <c r="AR103" s="55"/>
      <c r="AS103" s="55"/>
      <c r="AT103" s="55"/>
      <c r="AU103" s="55"/>
      <c r="AV103" s="55"/>
      <c r="AW103" s="55"/>
      <c r="AX103" s="55"/>
      <c r="AY103" s="55"/>
      <c r="AZ103" s="55"/>
      <c r="BA103" s="55"/>
      <c r="BB103" s="55"/>
      <c r="BC103" s="55"/>
      <c r="BD103" s="55"/>
      <c r="BE103" s="55"/>
      <c r="BF103" s="55"/>
      <c r="BG103" s="55"/>
      <c r="BH103" s="55"/>
      <c r="BI103" s="55"/>
    </row>
    <row r="104" spans="1:61" x14ac:dyDescent="0.3">
      <c r="A104" s="193" t="s">
        <v>528</v>
      </c>
      <c r="B104" s="194">
        <v>0.54</v>
      </c>
      <c r="C104" s="194">
        <v>0.71899999999999997</v>
      </c>
      <c r="D104" s="194">
        <v>32</v>
      </c>
      <c r="E104" s="194">
        <v>0.47299999999999998</v>
      </c>
      <c r="F104" s="194">
        <v>0.222</v>
      </c>
      <c r="G104" s="194">
        <v>18</v>
      </c>
      <c r="H104" s="194">
        <v>0.41199999999999998</v>
      </c>
      <c r="I104" s="194">
        <v>0.33300000000000002</v>
      </c>
      <c r="J104" s="194">
        <v>24</v>
      </c>
      <c r="K104" s="194">
        <v>0.52600000000000002</v>
      </c>
      <c r="L104" s="194">
        <v>0.61499999999999999</v>
      </c>
      <c r="M104" s="194">
        <v>26</v>
      </c>
      <c r="N104" s="194">
        <v>0.69199999999999995</v>
      </c>
      <c r="O104" s="194">
        <v>0.61499999999999999</v>
      </c>
      <c r="P104" s="194">
        <v>26</v>
      </c>
      <c r="Q104" s="194">
        <v>0.67500000000000004</v>
      </c>
      <c r="R104" s="194">
        <v>0.84599999999999997</v>
      </c>
      <c r="S104" s="194">
        <v>26</v>
      </c>
      <c r="T104" s="194">
        <v>0.70399999999999996</v>
      </c>
      <c r="U104" s="194">
        <v>0.57099999999999995</v>
      </c>
      <c r="V104" s="194">
        <v>28</v>
      </c>
      <c r="W104" s="194"/>
      <c r="X104" s="194"/>
      <c r="Y104" s="194"/>
      <c r="Z104" s="194"/>
      <c r="AA104" s="194"/>
      <c r="AB104" s="194"/>
      <c r="AC104" s="194"/>
      <c r="AD104" s="194"/>
      <c r="AE104" s="194"/>
      <c r="AF104" s="194"/>
      <c r="AG104" s="194"/>
      <c r="AH104" s="194"/>
      <c r="AI104" s="194"/>
      <c r="AJ104" s="194"/>
      <c r="AK104" s="194"/>
      <c r="AL104" s="55"/>
      <c r="AM104" s="55"/>
      <c r="AN104" s="55"/>
      <c r="AO104" s="55"/>
      <c r="AP104" s="55"/>
      <c r="AQ104" s="55"/>
      <c r="AR104" s="55"/>
      <c r="AS104" s="55"/>
      <c r="AT104" s="55"/>
      <c r="AU104" s="55"/>
      <c r="AV104" s="55"/>
      <c r="AW104" s="55"/>
      <c r="AX104" s="55"/>
      <c r="AY104" s="55"/>
      <c r="AZ104" s="55"/>
      <c r="BA104" s="55"/>
      <c r="BB104" s="55"/>
      <c r="BC104" s="55"/>
      <c r="BD104" s="55"/>
      <c r="BE104" s="55"/>
      <c r="BF104" s="55"/>
      <c r="BG104" s="55"/>
      <c r="BH104" s="55"/>
      <c r="BI104" s="55"/>
    </row>
    <row r="105" spans="1:61" x14ac:dyDescent="0.3">
      <c r="A105" s="193" t="s">
        <v>400</v>
      </c>
      <c r="B105" s="194">
        <v>0.67900000000000005</v>
      </c>
      <c r="C105" s="194">
        <v>0.75</v>
      </c>
      <c r="D105" s="194">
        <v>16</v>
      </c>
      <c r="E105" s="194">
        <v>0.60499999999999998</v>
      </c>
      <c r="F105" s="194">
        <v>0.58299999999999996</v>
      </c>
      <c r="G105" s="194">
        <v>12</v>
      </c>
      <c r="H105" s="194">
        <v>0.54100000000000004</v>
      </c>
      <c r="I105" s="194">
        <v>0.46700000000000003</v>
      </c>
      <c r="J105" s="194">
        <v>15</v>
      </c>
      <c r="K105" s="194">
        <v>0.66</v>
      </c>
      <c r="L105" s="194">
        <v>0.6</v>
      </c>
      <c r="M105" s="194">
        <v>10</v>
      </c>
      <c r="N105" s="194">
        <v>0.745</v>
      </c>
      <c r="O105" s="194">
        <v>0.81799999999999995</v>
      </c>
      <c r="P105" s="194">
        <v>22</v>
      </c>
      <c r="Q105" s="194">
        <v>0.75</v>
      </c>
      <c r="R105" s="194">
        <v>0.73299999999999998</v>
      </c>
      <c r="S105" s="194">
        <v>15</v>
      </c>
      <c r="T105" s="194">
        <v>0.68200000000000005</v>
      </c>
      <c r="U105" s="194">
        <v>0.57099999999999995</v>
      </c>
      <c r="V105" s="194">
        <v>7</v>
      </c>
      <c r="W105" s="194"/>
      <c r="X105" s="194"/>
      <c r="Y105" s="194"/>
      <c r="Z105" s="194"/>
      <c r="AA105" s="194"/>
      <c r="AB105" s="194"/>
      <c r="AC105" s="194"/>
      <c r="AD105" s="194"/>
      <c r="AE105" s="194"/>
      <c r="AF105" s="194"/>
      <c r="AG105" s="194"/>
      <c r="AH105" s="194"/>
      <c r="AI105" s="194"/>
      <c r="AJ105" s="194"/>
      <c r="AK105" s="194"/>
      <c r="AL105" s="55"/>
      <c r="AM105" s="55"/>
      <c r="AN105" s="55"/>
      <c r="AO105" s="55"/>
      <c r="AP105" s="55"/>
      <c r="AQ105" s="55"/>
      <c r="AR105" s="55"/>
      <c r="AS105" s="55"/>
      <c r="AT105" s="55"/>
      <c r="AU105" s="55"/>
      <c r="AV105" s="55"/>
      <c r="AW105" s="55"/>
      <c r="AX105" s="55"/>
      <c r="AY105" s="55"/>
      <c r="AZ105" s="55"/>
      <c r="BA105" s="55"/>
      <c r="BB105" s="55"/>
      <c r="BC105" s="55"/>
      <c r="BD105" s="55"/>
      <c r="BE105" s="55"/>
      <c r="BF105" s="55"/>
      <c r="BG105" s="55"/>
      <c r="BH105" s="55"/>
      <c r="BI105" s="55"/>
    </row>
    <row r="106" spans="1:61" x14ac:dyDescent="0.3">
      <c r="A106" s="193" t="s">
        <v>540</v>
      </c>
      <c r="B106" s="194">
        <v>0.8</v>
      </c>
      <c r="C106" s="194">
        <v>0.9</v>
      </c>
      <c r="D106" s="194">
        <v>20</v>
      </c>
      <c r="E106" s="194">
        <v>0.82199999999999995</v>
      </c>
      <c r="F106" s="194">
        <v>0.66700000000000004</v>
      </c>
      <c r="G106" s="194">
        <v>15</v>
      </c>
      <c r="H106" s="194">
        <v>0.81100000000000005</v>
      </c>
      <c r="I106" s="194">
        <v>0.9</v>
      </c>
      <c r="J106" s="194">
        <v>10</v>
      </c>
      <c r="K106" s="194">
        <v>0.85299999999999998</v>
      </c>
      <c r="L106" s="194">
        <v>0.91700000000000004</v>
      </c>
      <c r="M106" s="194">
        <v>12</v>
      </c>
      <c r="N106" s="194">
        <v>0.8</v>
      </c>
      <c r="O106" s="194">
        <v>0.75</v>
      </c>
      <c r="P106" s="194">
        <v>12</v>
      </c>
      <c r="Q106" s="194">
        <v>0.71899999999999997</v>
      </c>
      <c r="R106" s="194">
        <v>0.72699999999999998</v>
      </c>
      <c r="S106" s="194">
        <v>11</v>
      </c>
      <c r="T106" s="194">
        <v>0.7</v>
      </c>
      <c r="U106" s="194">
        <v>0.66700000000000004</v>
      </c>
      <c r="V106" s="194">
        <v>9</v>
      </c>
      <c r="W106" s="194"/>
      <c r="X106" s="194"/>
      <c r="Y106" s="194"/>
      <c r="Z106" s="194"/>
      <c r="AA106" s="194"/>
      <c r="AB106" s="194"/>
      <c r="AC106" s="194"/>
      <c r="AD106" s="194"/>
      <c r="AE106" s="194"/>
      <c r="AF106" s="194"/>
      <c r="AG106" s="194"/>
      <c r="AH106" s="194"/>
      <c r="AI106" s="194"/>
      <c r="AJ106" s="194"/>
      <c r="AK106" s="194"/>
      <c r="AL106" s="55"/>
      <c r="AM106" s="55"/>
      <c r="AN106" s="55"/>
      <c r="AO106" s="55"/>
      <c r="AP106" s="55"/>
      <c r="AQ106" s="55"/>
      <c r="AR106" s="55"/>
      <c r="AS106" s="55"/>
      <c r="AT106" s="55"/>
      <c r="AU106" s="55"/>
      <c r="AV106" s="55"/>
      <c r="AW106" s="55"/>
      <c r="AX106" s="55"/>
      <c r="AY106" s="55"/>
      <c r="AZ106" s="55"/>
      <c r="BA106" s="55"/>
      <c r="BB106" s="55"/>
      <c r="BC106" s="55"/>
      <c r="BD106" s="55"/>
      <c r="BE106" s="55"/>
      <c r="BF106" s="55"/>
      <c r="BG106" s="55"/>
      <c r="BH106" s="55"/>
      <c r="BI106" s="55"/>
    </row>
    <row r="107" spans="1:61" x14ac:dyDescent="0.3">
      <c r="A107" s="193" t="s">
        <v>337</v>
      </c>
      <c r="B107" s="194">
        <v>0.78900000000000003</v>
      </c>
      <c r="C107" s="194">
        <v>0.85699999999999998</v>
      </c>
      <c r="D107" s="194">
        <v>7</v>
      </c>
      <c r="E107" s="194">
        <v>0.74099999999999999</v>
      </c>
      <c r="F107" s="194">
        <v>0.75</v>
      </c>
      <c r="G107" s="194">
        <v>12</v>
      </c>
      <c r="H107" s="194">
        <v>0.69199999999999995</v>
      </c>
      <c r="I107" s="194">
        <v>0.625</v>
      </c>
      <c r="J107" s="194">
        <v>8</v>
      </c>
      <c r="K107" s="194">
        <v>0.70799999999999996</v>
      </c>
      <c r="L107" s="194">
        <v>0.66700000000000004</v>
      </c>
      <c r="M107" s="194">
        <v>6</v>
      </c>
      <c r="N107" s="194">
        <v>0.625</v>
      </c>
      <c r="O107" s="194">
        <v>0.8</v>
      </c>
      <c r="P107" s="194">
        <v>10</v>
      </c>
      <c r="Q107" s="194">
        <v>0.63600000000000001</v>
      </c>
      <c r="R107" s="194">
        <v>0.5</v>
      </c>
      <c r="S107" s="194">
        <v>16</v>
      </c>
      <c r="T107" s="194">
        <v>0.58799999999999997</v>
      </c>
      <c r="U107" s="194">
        <v>0.66700000000000004</v>
      </c>
      <c r="V107" s="194">
        <v>18</v>
      </c>
      <c r="W107" s="194"/>
      <c r="X107" s="194"/>
      <c r="Y107" s="194"/>
      <c r="Z107" s="194"/>
      <c r="AA107" s="194"/>
      <c r="AB107" s="194"/>
      <c r="AC107" s="194"/>
      <c r="AD107" s="194"/>
      <c r="AE107" s="194"/>
      <c r="AF107" s="194"/>
      <c r="AG107" s="194"/>
      <c r="AH107" s="194"/>
      <c r="AI107" s="194"/>
      <c r="AJ107" s="194"/>
      <c r="AK107" s="194"/>
      <c r="AL107" s="55"/>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row>
    <row r="108" spans="1:61" x14ac:dyDescent="0.3">
      <c r="A108" s="193" t="s">
        <v>482</v>
      </c>
      <c r="B108" s="194">
        <v>0.80700000000000005</v>
      </c>
      <c r="C108" s="194">
        <v>0.84799999999999998</v>
      </c>
      <c r="D108" s="194">
        <v>33</v>
      </c>
      <c r="E108" s="194">
        <v>0.80700000000000005</v>
      </c>
      <c r="F108" s="194">
        <v>0.75</v>
      </c>
      <c r="G108" s="194">
        <v>24</v>
      </c>
      <c r="H108" s="194">
        <v>0.70499999999999996</v>
      </c>
      <c r="I108" s="194">
        <v>0.80600000000000005</v>
      </c>
      <c r="J108" s="194">
        <v>31</v>
      </c>
      <c r="K108" s="194">
        <v>0.69099999999999995</v>
      </c>
      <c r="L108" s="194">
        <v>0.52200000000000002</v>
      </c>
      <c r="M108" s="194">
        <v>23</v>
      </c>
      <c r="N108" s="194">
        <v>0.628</v>
      </c>
      <c r="O108" s="194">
        <v>0.70399999999999996</v>
      </c>
      <c r="P108" s="194">
        <v>27</v>
      </c>
      <c r="Q108" s="194">
        <v>0.73</v>
      </c>
      <c r="R108" s="194">
        <v>0.64300000000000002</v>
      </c>
      <c r="S108" s="194">
        <v>28</v>
      </c>
      <c r="T108" s="194">
        <v>0.74199999999999999</v>
      </c>
      <c r="U108" s="194">
        <v>0.82399999999999995</v>
      </c>
      <c r="V108" s="194">
        <v>34</v>
      </c>
      <c r="W108" s="194"/>
      <c r="X108" s="194"/>
      <c r="Y108" s="194"/>
      <c r="Z108" s="194"/>
      <c r="AA108" s="194"/>
      <c r="AB108" s="194"/>
      <c r="AC108" s="194"/>
      <c r="AD108" s="194"/>
      <c r="AE108" s="194"/>
      <c r="AF108" s="194"/>
      <c r="AG108" s="194"/>
      <c r="AH108" s="194"/>
      <c r="AI108" s="194"/>
      <c r="AJ108" s="194"/>
      <c r="AK108" s="194"/>
      <c r="AL108" s="55"/>
      <c r="AM108" s="55"/>
      <c r="AN108" s="55"/>
      <c r="AO108" s="55"/>
      <c r="AP108" s="55"/>
      <c r="AQ108" s="55"/>
      <c r="AR108" s="55"/>
      <c r="AS108" s="55"/>
      <c r="AT108" s="55"/>
      <c r="AU108" s="55"/>
      <c r="AV108" s="55"/>
      <c r="AW108" s="55"/>
      <c r="AX108" s="55"/>
      <c r="AY108" s="55"/>
      <c r="AZ108" s="55"/>
      <c r="BA108" s="55"/>
      <c r="BB108" s="55"/>
      <c r="BC108" s="55"/>
      <c r="BD108" s="55"/>
      <c r="BE108" s="55"/>
      <c r="BF108" s="55"/>
      <c r="BG108" s="55"/>
      <c r="BH108" s="55"/>
      <c r="BI108" s="55"/>
    </row>
    <row r="109" spans="1:61" x14ac:dyDescent="0.3">
      <c r="A109" s="193" t="s">
        <v>546</v>
      </c>
      <c r="B109" s="194">
        <v>0.86</v>
      </c>
      <c r="C109" s="194">
        <v>0.75</v>
      </c>
      <c r="D109" s="194">
        <v>16</v>
      </c>
      <c r="E109" s="194">
        <v>0.86099999999999999</v>
      </c>
      <c r="F109" s="194">
        <v>0.92600000000000005</v>
      </c>
      <c r="G109" s="194">
        <v>27</v>
      </c>
      <c r="H109" s="194">
        <v>0.86599999999999999</v>
      </c>
      <c r="I109" s="194">
        <v>0.86199999999999999</v>
      </c>
      <c r="J109" s="194">
        <v>29</v>
      </c>
      <c r="K109" s="194">
        <v>0.76800000000000002</v>
      </c>
      <c r="L109" s="194">
        <v>0.80800000000000005</v>
      </c>
      <c r="M109" s="194">
        <v>26</v>
      </c>
      <c r="N109" s="194">
        <v>0.72</v>
      </c>
      <c r="O109" s="194">
        <v>0.63</v>
      </c>
      <c r="P109" s="194">
        <v>27</v>
      </c>
      <c r="Q109" s="194">
        <v>0.67900000000000005</v>
      </c>
      <c r="R109" s="194">
        <v>0.72699999999999998</v>
      </c>
      <c r="S109" s="194">
        <v>22</v>
      </c>
      <c r="T109" s="194">
        <v>0.72399999999999998</v>
      </c>
      <c r="U109" s="194">
        <v>0.71399999999999997</v>
      </c>
      <c r="V109" s="194">
        <v>7</v>
      </c>
      <c r="W109" s="194"/>
      <c r="X109" s="194"/>
      <c r="Y109" s="194"/>
      <c r="Z109" s="194"/>
      <c r="AA109" s="194"/>
      <c r="AB109" s="194"/>
      <c r="AC109" s="194"/>
      <c r="AD109" s="194"/>
      <c r="AE109" s="194"/>
      <c r="AF109" s="194"/>
      <c r="AG109" s="194"/>
      <c r="AH109" s="194"/>
      <c r="AI109" s="194"/>
      <c r="AJ109" s="194"/>
      <c r="AK109" s="194"/>
      <c r="AL109" s="55"/>
      <c r="AM109" s="55"/>
      <c r="AN109" s="55"/>
      <c r="AO109" s="55"/>
      <c r="AP109" s="55"/>
      <c r="AQ109" s="55"/>
      <c r="AR109" s="55"/>
      <c r="AS109" s="55"/>
      <c r="AT109" s="55"/>
      <c r="AU109" s="55"/>
      <c r="AV109" s="55"/>
      <c r="AW109" s="55"/>
      <c r="AX109" s="55"/>
      <c r="AY109" s="55"/>
      <c r="AZ109" s="55"/>
      <c r="BA109" s="55"/>
      <c r="BB109" s="55"/>
      <c r="BC109" s="55"/>
      <c r="BD109" s="55"/>
      <c r="BE109" s="55"/>
      <c r="BF109" s="55"/>
      <c r="BG109" s="55"/>
      <c r="BH109" s="55"/>
      <c r="BI109" s="55"/>
    </row>
    <row r="110" spans="1:61" x14ac:dyDescent="0.3">
      <c r="A110" s="193" t="s">
        <v>538</v>
      </c>
      <c r="B110" s="194">
        <v>0.75</v>
      </c>
      <c r="C110" s="194">
        <v>0.75</v>
      </c>
      <c r="D110" s="194">
        <v>12</v>
      </c>
      <c r="E110" s="194">
        <v>0.75700000000000001</v>
      </c>
      <c r="F110" s="194">
        <v>0.75</v>
      </c>
      <c r="G110" s="194">
        <v>16</v>
      </c>
      <c r="H110" s="194">
        <v>0.79400000000000004</v>
      </c>
      <c r="I110" s="194">
        <v>0.77800000000000002</v>
      </c>
      <c r="J110" s="194">
        <v>9</v>
      </c>
      <c r="K110" s="194">
        <v>0.77300000000000002</v>
      </c>
      <c r="L110" s="194">
        <v>0.88900000000000001</v>
      </c>
      <c r="M110" s="194">
        <v>9</v>
      </c>
      <c r="N110" s="194">
        <v>0.78600000000000003</v>
      </c>
      <c r="O110" s="194">
        <v>0.5</v>
      </c>
      <c r="P110" s="194">
        <v>4</v>
      </c>
      <c r="Q110" s="194">
        <v>0.71399999999999997</v>
      </c>
      <c r="R110" s="194">
        <v>1</v>
      </c>
      <c r="S110" s="194">
        <v>1</v>
      </c>
      <c r="T110" s="194">
        <v>1</v>
      </c>
      <c r="U110" s="194">
        <v>1</v>
      </c>
      <c r="V110" s="194">
        <v>2</v>
      </c>
      <c r="W110" s="194"/>
      <c r="X110" s="194"/>
      <c r="Y110" s="194"/>
      <c r="Z110" s="194"/>
      <c r="AA110" s="194"/>
      <c r="AB110" s="194"/>
      <c r="AC110" s="194"/>
      <c r="AD110" s="194"/>
      <c r="AE110" s="194"/>
      <c r="AF110" s="194"/>
      <c r="AG110" s="194"/>
      <c r="AH110" s="194"/>
      <c r="AI110" s="194"/>
      <c r="AJ110" s="194"/>
      <c r="AK110" s="194"/>
      <c r="AL110" s="55"/>
      <c r="AM110" s="55"/>
      <c r="AN110" s="55"/>
      <c r="AO110" s="55"/>
      <c r="AP110" s="55"/>
      <c r="AQ110" s="55"/>
      <c r="AR110" s="55"/>
      <c r="AS110" s="55"/>
      <c r="AT110" s="55"/>
      <c r="AU110" s="55"/>
      <c r="AV110" s="55"/>
      <c r="AW110" s="55"/>
      <c r="AX110" s="55"/>
      <c r="AY110" s="55"/>
      <c r="AZ110" s="55"/>
      <c r="BA110" s="55"/>
      <c r="BB110" s="55"/>
      <c r="BC110" s="55"/>
      <c r="BD110" s="55"/>
      <c r="BE110" s="55"/>
      <c r="BF110" s="55"/>
      <c r="BG110" s="55"/>
      <c r="BH110" s="55"/>
      <c r="BI110" s="55"/>
    </row>
    <row r="111" spans="1:61" x14ac:dyDescent="0.3">
      <c r="A111" s="193" t="s">
        <v>303</v>
      </c>
      <c r="B111" s="194">
        <v>0.78400000000000003</v>
      </c>
      <c r="C111" s="194">
        <v>0.76500000000000001</v>
      </c>
      <c r="D111" s="194">
        <v>17</v>
      </c>
      <c r="E111" s="194">
        <v>0.75900000000000001</v>
      </c>
      <c r="F111" s="194">
        <v>0.8</v>
      </c>
      <c r="G111" s="194">
        <v>20</v>
      </c>
      <c r="H111" s="194">
        <v>0.78700000000000003</v>
      </c>
      <c r="I111" s="194">
        <v>0.70599999999999996</v>
      </c>
      <c r="J111" s="194">
        <v>17</v>
      </c>
      <c r="K111" s="194">
        <v>0.80300000000000005</v>
      </c>
      <c r="L111" s="194">
        <v>0.83299999999999996</v>
      </c>
      <c r="M111" s="194">
        <v>24</v>
      </c>
      <c r="N111" s="194">
        <v>0.84199999999999997</v>
      </c>
      <c r="O111" s="194">
        <v>0.85</v>
      </c>
      <c r="P111" s="194">
        <v>20</v>
      </c>
      <c r="Q111" s="194">
        <v>0.875</v>
      </c>
      <c r="R111" s="194">
        <v>0.84599999999999997</v>
      </c>
      <c r="S111" s="194">
        <v>13</v>
      </c>
      <c r="T111" s="194">
        <v>0.9</v>
      </c>
      <c r="U111" s="194">
        <v>1</v>
      </c>
      <c r="V111" s="194">
        <v>7</v>
      </c>
      <c r="W111" s="194"/>
      <c r="X111" s="194"/>
      <c r="Y111" s="194"/>
      <c r="Z111" s="194"/>
      <c r="AA111" s="194"/>
      <c r="AB111" s="194"/>
      <c r="AC111" s="194"/>
      <c r="AD111" s="194"/>
      <c r="AE111" s="194"/>
      <c r="AF111" s="194"/>
      <c r="AG111" s="194"/>
      <c r="AH111" s="194"/>
      <c r="AI111" s="194"/>
      <c r="AJ111" s="194"/>
      <c r="AK111" s="194"/>
      <c r="AL111" s="55"/>
      <c r="AM111" s="55"/>
      <c r="AN111" s="55"/>
      <c r="AO111" s="55"/>
      <c r="AP111" s="55"/>
      <c r="AQ111" s="55"/>
      <c r="AR111" s="55"/>
      <c r="AS111" s="55"/>
      <c r="AT111" s="55"/>
      <c r="AU111" s="55"/>
      <c r="AV111" s="55"/>
      <c r="AW111" s="55"/>
      <c r="AX111" s="55"/>
      <c r="AY111" s="55"/>
      <c r="AZ111" s="55"/>
      <c r="BA111" s="55"/>
      <c r="BB111" s="55"/>
      <c r="BC111" s="55"/>
      <c r="BD111" s="55"/>
      <c r="BE111" s="55"/>
      <c r="BF111" s="55"/>
      <c r="BG111" s="55"/>
      <c r="BH111" s="55"/>
      <c r="BI111" s="55"/>
    </row>
    <row r="112" spans="1:61" x14ac:dyDescent="0.3">
      <c r="A112" s="193" t="s">
        <v>433</v>
      </c>
      <c r="B112" s="194">
        <v>0.61199999999999999</v>
      </c>
      <c r="C112" s="194">
        <v>0.75</v>
      </c>
      <c r="D112" s="194">
        <v>28</v>
      </c>
      <c r="E112" s="194">
        <v>0.59</v>
      </c>
      <c r="F112" s="194">
        <v>0.42899999999999999</v>
      </c>
      <c r="G112" s="194">
        <v>21</v>
      </c>
      <c r="H112" s="194">
        <v>0.54900000000000004</v>
      </c>
      <c r="I112" s="194">
        <v>0.55200000000000005</v>
      </c>
      <c r="J112" s="194">
        <v>29</v>
      </c>
      <c r="K112" s="194">
        <v>0.58399999999999996</v>
      </c>
      <c r="L112" s="194">
        <v>0.625</v>
      </c>
      <c r="M112" s="194">
        <v>32</v>
      </c>
      <c r="N112" s="194">
        <v>0.59199999999999997</v>
      </c>
      <c r="O112" s="194">
        <v>0.56299999999999994</v>
      </c>
      <c r="P112" s="194">
        <v>16</v>
      </c>
      <c r="Q112" s="194">
        <v>0.61799999999999999</v>
      </c>
      <c r="R112" s="194">
        <v>0.56499999999999995</v>
      </c>
      <c r="S112" s="194">
        <v>23</v>
      </c>
      <c r="T112" s="194">
        <v>0.64100000000000001</v>
      </c>
      <c r="U112" s="194">
        <v>0.75</v>
      </c>
      <c r="V112" s="194">
        <v>16</v>
      </c>
      <c r="W112" s="194"/>
      <c r="X112" s="194"/>
      <c r="Y112" s="194"/>
      <c r="Z112" s="194"/>
      <c r="AA112" s="194"/>
      <c r="AB112" s="194"/>
      <c r="AC112" s="194"/>
      <c r="AD112" s="194"/>
      <c r="AE112" s="194"/>
      <c r="AF112" s="194"/>
      <c r="AG112" s="194"/>
      <c r="AH112" s="194"/>
      <c r="AI112" s="194"/>
      <c r="AJ112" s="194"/>
      <c r="AK112" s="194"/>
      <c r="AL112" s="55"/>
      <c r="AM112" s="55"/>
      <c r="AN112" s="55"/>
      <c r="AO112" s="55"/>
      <c r="AP112" s="55"/>
      <c r="AQ112" s="55"/>
      <c r="AR112" s="55"/>
      <c r="AS112" s="55"/>
      <c r="AT112" s="55"/>
      <c r="AU112" s="55"/>
      <c r="AV112" s="55"/>
      <c r="AW112" s="55"/>
      <c r="AX112" s="55"/>
      <c r="AY112" s="55"/>
      <c r="AZ112" s="55"/>
      <c r="BA112" s="55"/>
      <c r="BB112" s="55"/>
      <c r="BC112" s="55"/>
      <c r="BD112" s="55"/>
      <c r="BE112" s="55"/>
      <c r="BF112" s="55"/>
      <c r="BG112" s="55"/>
      <c r="BH112" s="55"/>
      <c r="BI112" s="55"/>
    </row>
    <row r="113" spans="1:61" x14ac:dyDescent="0.3">
      <c r="A113" s="193" t="s">
        <v>348</v>
      </c>
      <c r="B113" s="194">
        <v>0.75</v>
      </c>
      <c r="C113" s="194">
        <v>0.83299999999999996</v>
      </c>
      <c r="D113" s="194">
        <v>12</v>
      </c>
      <c r="E113" s="194">
        <v>0.70899999999999996</v>
      </c>
      <c r="F113" s="194">
        <v>0.7</v>
      </c>
      <c r="G113" s="194">
        <v>20</v>
      </c>
      <c r="H113" s="194">
        <v>0.71899999999999997</v>
      </c>
      <c r="I113" s="194">
        <v>0.65200000000000002</v>
      </c>
      <c r="J113" s="194">
        <v>23</v>
      </c>
      <c r="K113" s="194">
        <v>0.75</v>
      </c>
      <c r="L113" s="194">
        <v>0.81</v>
      </c>
      <c r="M113" s="194">
        <v>21</v>
      </c>
      <c r="N113" s="194">
        <v>0.83299999999999996</v>
      </c>
      <c r="O113" s="194">
        <v>0.81299999999999994</v>
      </c>
      <c r="P113" s="194">
        <v>16</v>
      </c>
      <c r="Q113" s="194">
        <v>0.8</v>
      </c>
      <c r="R113" s="194">
        <v>0.90900000000000003</v>
      </c>
      <c r="S113" s="194">
        <v>11</v>
      </c>
      <c r="T113" s="194">
        <v>0.79200000000000004</v>
      </c>
      <c r="U113" s="194">
        <v>0.69199999999999995</v>
      </c>
      <c r="V113" s="194">
        <v>13</v>
      </c>
      <c r="W113" s="194"/>
      <c r="X113" s="194"/>
      <c r="Y113" s="194"/>
      <c r="Z113" s="194"/>
      <c r="AA113" s="194"/>
      <c r="AB113" s="194"/>
      <c r="AC113" s="194"/>
      <c r="AD113" s="194"/>
      <c r="AE113" s="194"/>
      <c r="AF113" s="194"/>
      <c r="AG113" s="194"/>
      <c r="AH113" s="194"/>
      <c r="AI113" s="194"/>
      <c r="AJ113" s="194"/>
      <c r="AK113" s="194"/>
      <c r="AL113" s="55"/>
      <c r="AM113" s="55"/>
      <c r="AN113" s="55"/>
      <c r="AO113" s="55"/>
      <c r="AP113" s="55"/>
      <c r="AQ113" s="55"/>
      <c r="AR113" s="55"/>
      <c r="AS113" s="55"/>
      <c r="AT113" s="55"/>
      <c r="AU113" s="55"/>
      <c r="AV113" s="55"/>
      <c r="AW113" s="55"/>
      <c r="AX113" s="55"/>
      <c r="AY113" s="55"/>
      <c r="AZ113" s="55"/>
      <c r="BA113" s="55"/>
      <c r="BB113" s="55"/>
      <c r="BC113" s="55"/>
      <c r="BD113" s="55"/>
      <c r="BE113" s="55"/>
      <c r="BF113" s="55"/>
      <c r="BG113" s="55"/>
      <c r="BH113" s="55"/>
      <c r="BI113" s="55"/>
    </row>
    <row r="114" spans="1:61" x14ac:dyDescent="0.3">
      <c r="A114" s="193" t="s">
        <v>410</v>
      </c>
      <c r="B114" s="194">
        <v>0.82099999999999995</v>
      </c>
      <c r="C114" s="194">
        <v>0.85699999999999998</v>
      </c>
      <c r="D114" s="194">
        <v>28</v>
      </c>
      <c r="E114" s="194">
        <v>0.72099999999999997</v>
      </c>
      <c r="F114" s="194">
        <v>0.78600000000000003</v>
      </c>
      <c r="G114" s="194">
        <v>28</v>
      </c>
      <c r="H114" s="194">
        <v>0.68799999999999994</v>
      </c>
      <c r="I114" s="194">
        <v>0.53300000000000003</v>
      </c>
      <c r="J114" s="194">
        <v>30</v>
      </c>
      <c r="K114" s="194">
        <v>0.69099999999999995</v>
      </c>
      <c r="L114" s="194">
        <v>0.77300000000000002</v>
      </c>
      <c r="M114" s="194">
        <v>22</v>
      </c>
      <c r="N114" s="194">
        <v>0.74099999999999999</v>
      </c>
      <c r="O114" s="194">
        <v>0.79300000000000004</v>
      </c>
      <c r="P114" s="194">
        <v>29</v>
      </c>
      <c r="Q114" s="194">
        <v>0.75</v>
      </c>
      <c r="R114" s="194">
        <v>0.66700000000000004</v>
      </c>
      <c r="S114" s="194">
        <v>30</v>
      </c>
      <c r="T114" s="194">
        <v>0.73</v>
      </c>
      <c r="U114" s="194">
        <v>0.78800000000000003</v>
      </c>
      <c r="V114" s="194">
        <v>33</v>
      </c>
      <c r="W114" s="194"/>
      <c r="X114" s="194"/>
      <c r="Y114" s="194"/>
      <c r="Z114" s="194"/>
      <c r="AA114" s="194"/>
      <c r="AB114" s="194"/>
      <c r="AC114" s="194"/>
      <c r="AD114" s="194"/>
      <c r="AE114" s="194"/>
      <c r="AF114" s="194"/>
      <c r="AG114" s="194"/>
      <c r="AH114" s="194"/>
      <c r="AI114" s="194"/>
      <c r="AJ114" s="194"/>
      <c r="AK114" s="194"/>
      <c r="AL114" s="55"/>
      <c r="AM114" s="55"/>
      <c r="AN114" s="55"/>
      <c r="AO114" s="55"/>
      <c r="AP114" s="55"/>
      <c r="AQ114" s="55"/>
      <c r="AR114" s="55"/>
      <c r="AS114" s="55"/>
      <c r="AT114" s="55"/>
      <c r="AU114" s="55"/>
      <c r="AV114" s="55"/>
      <c r="AW114" s="55"/>
      <c r="AX114" s="55"/>
      <c r="AY114" s="55"/>
      <c r="AZ114" s="55"/>
      <c r="BA114" s="55"/>
      <c r="BB114" s="55"/>
      <c r="BC114" s="55"/>
      <c r="BD114" s="55"/>
      <c r="BE114" s="55"/>
      <c r="BF114" s="55"/>
      <c r="BG114" s="55"/>
      <c r="BH114" s="55"/>
      <c r="BI114" s="55"/>
    </row>
    <row r="115" spans="1:61" x14ac:dyDescent="0.3">
      <c r="A115" s="193" t="s">
        <v>460</v>
      </c>
      <c r="B115" s="194">
        <v>0.63300000000000001</v>
      </c>
      <c r="C115" s="194">
        <v>0.72199999999999998</v>
      </c>
      <c r="D115" s="194">
        <v>18</v>
      </c>
      <c r="E115" s="194">
        <v>0.54500000000000004</v>
      </c>
      <c r="F115" s="194">
        <v>0.58099999999999996</v>
      </c>
      <c r="G115" s="194">
        <v>31</v>
      </c>
      <c r="H115" s="194">
        <v>0.52400000000000002</v>
      </c>
      <c r="I115" s="194">
        <v>0.39300000000000002</v>
      </c>
      <c r="J115" s="194">
        <v>28</v>
      </c>
      <c r="K115" s="194">
        <v>0.53900000000000003</v>
      </c>
      <c r="L115" s="194">
        <v>0.6</v>
      </c>
      <c r="M115" s="194">
        <v>25</v>
      </c>
      <c r="N115" s="194">
        <v>0.66700000000000004</v>
      </c>
      <c r="O115" s="194">
        <v>0.65200000000000002</v>
      </c>
      <c r="P115" s="194">
        <v>23</v>
      </c>
      <c r="Q115" s="194">
        <v>0.70599999999999996</v>
      </c>
      <c r="R115" s="194">
        <v>0.72699999999999998</v>
      </c>
      <c r="S115" s="194">
        <v>33</v>
      </c>
      <c r="T115" s="194">
        <v>0.73299999999999998</v>
      </c>
      <c r="U115" s="194">
        <v>0.75</v>
      </c>
      <c r="V115" s="194">
        <v>12</v>
      </c>
      <c r="W115" s="194"/>
      <c r="X115" s="194"/>
      <c r="Y115" s="194"/>
      <c r="Z115" s="194"/>
      <c r="AA115" s="194"/>
      <c r="AB115" s="194"/>
      <c r="AC115" s="194"/>
      <c r="AD115" s="194"/>
      <c r="AE115" s="194"/>
      <c r="AF115" s="194"/>
      <c r="AG115" s="194"/>
      <c r="AH115" s="194"/>
      <c r="AI115" s="194"/>
      <c r="AJ115" s="194"/>
      <c r="AK115" s="194"/>
      <c r="AL115" s="55"/>
      <c r="AM115" s="55"/>
      <c r="AN115" s="55"/>
      <c r="AO115" s="55"/>
      <c r="AP115" s="55"/>
      <c r="AQ115" s="55"/>
      <c r="AR115" s="55"/>
      <c r="AS115" s="55"/>
      <c r="AT115" s="55"/>
      <c r="AU115" s="55"/>
      <c r="AV115" s="55"/>
      <c r="AW115" s="55"/>
      <c r="AX115" s="55"/>
      <c r="AY115" s="55"/>
      <c r="AZ115" s="55"/>
      <c r="BA115" s="55"/>
      <c r="BB115" s="55"/>
      <c r="BC115" s="55"/>
      <c r="BD115" s="55"/>
      <c r="BE115" s="55"/>
      <c r="BF115" s="55"/>
      <c r="BG115" s="55"/>
      <c r="BH115" s="55"/>
      <c r="BI115" s="55"/>
    </row>
    <row r="116" spans="1:61" x14ac:dyDescent="0.3">
      <c r="A116" s="193" t="s">
        <v>288</v>
      </c>
      <c r="B116" s="194">
        <v>0.68600000000000005</v>
      </c>
      <c r="C116" s="194">
        <v>0.61099999999999999</v>
      </c>
      <c r="D116" s="194">
        <v>18</v>
      </c>
      <c r="E116" s="194">
        <v>0.65500000000000003</v>
      </c>
      <c r="F116" s="194">
        <v>0.76500000000000001</v>
      </c>
      <c r="G116" s="194">
        <v>17</v>
      </c>
      <c r="H116" s="194">
        <v>0.67200000000000004</v>
      </c>
      <c r="I116" s="194">
        <v>0.60899999999999999</v>
      </c>
      <c r="J116" s="194">
        <v>23</v>
      </c>
      <c r="K116" s="194">
        <v>0.64300000000000002</v>
      </c>
      <c r="L116" s="194">
        <v>0.66700000000000004</v>
      </c>
      <c r="M116" s="194">
        <v>18</v>
      </c>
      <c r="N116" s="194">
        <v>0.625</v>
      </c>
      <c r="O116" s="194">
        <v>0.66700000000000004</v>
      </c>
      <c r="P116" s="194">
        <v>15</v>
      </c>
      <c r="Q116" s="194">
        <v>0.59499999999999997</v>
      </c>
      <c r="R116" s="194">
        <v>0.53300000000000003</v>
      </c>
      <c r="S116" s="194">
        <v>15</v>
      </c>
      <c r="T116" s="194">
        <v>0.55600000000000005</v>
      </c>
      <c r="U116" s="194">
        <v>0.58299999999999996</v>
      </c>
      <c r="V116" s="194">
        <v>12</v>
      </c>
      <c r="W116" s="194"/>
      <c r="X116" s="194"/>
      <c r="Y116" s="194"/>
      <c r="Z116" s="194"/>
      <c r="AA116" s="194"/>
      <c r="AB116" s="194"/>
      <c r="AC116" s="194"/>
      <c r="AD116" s="194"/>
      <c r="AE116" s="194"/>
      <c r="AF116" s="194"/>
      <c r="AG116" s="194"/>
      <c r="AH116" s="194"/>
      <c r="AI116" s="194"/>
      <c r="AJ116" s="194"/>
      <c r="AK116" s="194"/>
      <c r="AL116" s="55"/>
      <c r="AM116" s="55"/>
      <c r="AN116" s="55"/>
      <c r="AO116" s="55"/>
      <c r="AP116" s="55"/>
      <c r="AQ116" s="55"/>
      <c r="AR116" s="55"/>
      <c r="AS116" s="55"/>
      <c r="AT116" s="55"/>
      <c r="AU116" s="55"/>
      <c r="AV116" s="55"/>
      <c r="AW116" s="55"/>
      <c r="AX116" s="55"/>
      <c r="AY116" s="55"/>
      <c r="AZ116" s="55"/>
      <c r="BA116" s="55"/>
      <c r="BB116" s="55"/>
      <c r="BC116" s="55"/>
      <c r="BD116" s="55"/>
      <c r="BE116" s="55"/>
      <c r="BF116" s="55"/>
      <c r="BG116" s="55"/>
      <c r="BH116" s="55"/>
      <c r="BI116" s="55"/>
    </row>
    <row r="117" spans="1:61" x14ac:dyDescent="0.3">
      <c r="A117" s="193" t="s">
        <v>388</v>
      </c>
      <c r="B117" s="194">
        <v>0.88900000000000001</v>
      </c>
      <c r="C117" s="194">
        <v>1</v>
      </c>
      <c r="D117" s="194">
        <v>13</v>
      </c>
      <c r="E117" s="194">
        <v>0.82099999999999995</v>
      </c>
      <c r="F117" s="194">
        <v>0.78600000000000003</v>
      </c>
      <c r="G117" s="194">
        <v>14</v>
      </c>
      <c r="H117" s="194">
        <v>0.57899999999999996</v>
      </c>
      <c r="I117" s="194">
        <v>0.66700000000000004</v>
      </c>
      <c r="J117" s="194">
        <v>12</v>
      </c>
      <c r="K117" s="194">
        <v>0.48299999999999998</v>
      </c>
      <c r="L117" s="194">
        <v>0.25</v>
      </c>
      <c r="M117" s="194">
        <v>12</v>
      </c>
      <c r="N117" s="194">
        <v>0.45800000000000002</v>
      </c>
      <c r="O117" s="194">
        <v>0.6</v>
      </c>
      <c r="P117" s="194">
        <v>5</v>
      </c>
      <c r="Q117" s="194">
        <v>0.75</v>
      </c>
      <c r="R117" s="194">
        <v>0.71399999999999997</v>
      </c>
      <c r="S117" s="194">
        <v>7</v>
      </c>
      <c r="T117" s="194">
        <v>0.8</v>
      </c>
      <c r="U117" s="194">
        <v>0.875</v>
      </c>
      <c r="V117" s="194">
        <v>8</v>
      </c>
      <c r="W117" s="194"/>
      <c r="X117" s="194"/>
      <c r="Y117" s="194"/>
      <c r="Z117" s="194"/>
      <c r="AA117" s="194"/>
      <c r="AB117" s="194"/>
      <c r="AC117" s="194"/>
      <c r="AD117" s="194"/>
      <c r="AE117" s="194"/>
      <c r="AF117" s="194"/>
      <c r="AG117" s="194"/>
      <c r="AH117" s="194"/>
      <c r="AI117" s="194"/>
      <c r="AJ117" s="194"/>
      <c r="AK117" s="194"/>
      <c r="AL117" s="55"/>
      <c r="AM117" s="55"/>
      <c r="AN117" s="55"/>
      <c r="AO117" s="55"/>
      <c r="AP117" s="55"/>
      <c r="AQ117" s="55"/>
      <c r="AR117" s="55"/>
      <c r="AS117" s="55"/>
      <c r="AT117" s="55"/>
      <c r="AU117" s="55"/>
      <c r="AV117" s="55"/>
      <c r="AW117" s="55"/>
      <c r="AX117" s="55"/>
      <c r="AY117" s="55"/>
      <c r="AZ117" s="55"/>
      <c r="BA117" s="55"/>
      <c r="BB117" s="55"/>
      <c r="BC117" s="55"/>
      <c r="BD117" s="55"/>
      <c r="BE117" s="55"/>
      <c r="BF117" s="55"/>
      <c r="BG117" s="55"/>
      <c r="BH117" s="55"/>
      <c r="BI117" s="55"/>
    </row>
    <row r="118" spans="1:61" x14ac:dyDescent="0.3">
      <c r="A118" s="193" t="s">
        <v>322</v>
      </c>
      <c r="B118" s="194">
        <v>0.54500000000000004</v>
      </c>
      <c r="C118" s="194">
        <v>0.66700000000000004</v>
      </c>
      <c r="D118" s="194">
        <v>3</v>
      </c>
      <c r="E118" s="194">
        <v>0.5</v>
      </c>
      <c r="F118" s="194">
        <v>0.5</v>
      </c>
      <c r="G118" s="194">
        <v>8</v>
      </c>
      <c r="H118" s="194">
        <v>0.57899999999999996</v>
      </c>
      <c r="I118" s="194">
        <v>0.33300000000000002</v>
      </c>
      <c r="J118" s="194">
        <v>3</v>
      </c>
      <c r="K118" s="194">
        <v>0.6</v>
      </c>
      <c r="L118" s="194">
        <v>0.75</v>
      </c>
      <c r="M118" s="194">
        <v>8</v>
      </c>
      <c r="N118" s="194">
        <v>0.55600000000000005</v>
      </c>
      <c r="O118" s="194">
        <v>0.5</v>
      </c>
      <c r="P118" s="194">
        <v>4</v>
      </c>
      <c r="Q118" s="194">
        <v>0.46200000000000002</v>
      </c>
      <c r="R118" s="194">
        <v>0.33300000000000002</v>
      </c>
      <c r="S118" s="194">
        <v>6</v>
      </c>
      <c r="T118" s="194">
        <v>0.44400000000000001</v>
      </c>
      <c r="U118" s="194">
        <v>0.66700000000000004</v>
      </c>
      <c r="V118" s="194">
        <v>3</v>
      </c>
      <c r="W118" s="194"/>
      <c r="X118" s="194"/>
      <c r="Y118" s="194"/>
      <c r="Z118" s="194"/>
      <c r="AA118" s="194"/>
      <c r="AB118" s="194"/>
      <c r="AC118" s="194"/>
      <c r="AD118" s="194"/>
      <c r="AE118" s="194"/>
      <c r="AF118" s="194"/>
      <c r="AG118" s="194"/>
      <c r="AH118" s="194"/>
      <c r="AI118" s="194"/>
      <c r="AJ118" s="194"/>
      <c r="AK118" s="194"/>
      <c r="AL118" s="55"/>
      <c r="AM118" s="55"/>
      <c r="AN118" s="55"/>
      <c r="AO118" s="55"/>
      <c r="AP118" s="55"/>
      <c r="AQ118" s="55"/>
      <c r="AR118" s="55"/>
      <c r="AS118" s="55"/>
      <c r="AT118" s="55"/>
      <c r="AU118" s="55"/>
      <c r="AV118" s="55"/>
      <c r="AW118" s="55"/>
      <c r="AX118" s="55"/>
      <c r="AY118" s="55"/>
      <c r="AZ118" s="55"/>
      <c r="BA118" s="55"/>
      <c r="BB118" s="55"/>
      <c r="BC118" s="55"/>
      <c r="BD118" s="55"/>
      <c r="BE118" s="55"/>
      <c r="BF118" s="55"/>
      <c r="BG118" s="55"/>
      <c r="BH118" s="55"/>
      <c r="BI118" s="55"/>
    </row>
    <row r="119" spans="1:61" x14ac:dyDescent="0.3">
      <c r="A119" s="193" t="s">
        <v>299</v>
      </c>
      <c r="B119" s="194">
        <v>0.77400000000000002</v>
      </c>
      <c r="C119" s="194">
        <v>0.85</v>
      </c>
      <c r="D119" s="194">
        <v>20</v>
      </c>
      <c r="E119" s="194">
        <v>0.66700000000000004</v>
      </c>
      <c r="F119" s="194">
        <v>0.63600000000000001</v>
      </c>
      <c r="G119" s="194">
        <v>11</v>
      </c>
      <c r="H119" s="194">
        <v>0.48599999999999999</v>
      </c>
      <c r="I119" s="194">
        <v>0.47099999999999997</v>
      </c>
      <c r="J119" s="194">
        <v>17</v>
      </c>
      <c r="K119" s="194">
        <v>0.33300000000000002</v>
      </c>
      <c r="L119" s="194">
        <v>0.33300000000000002</v>
      </c>
      <c r="M119" s="194">
        <v>9</v>
      </c>
      <c r="N119" s="194">
        <v>0.25</v>
      </c>
      <c r="O119" s="194">
        <v>0</v>
      </c>
      <c r="P119" s="194">
        <v>7</v>
      </c>
      <c r="Q119" s="194">
        <v>0.24099999999999999</v>
      </c>
      <c r="R119" s="194">
        <v>0.33300000000000002</v>
      </c>
      <c r="S119" s="194">
        <v>12</v>
      </c>
      <c r="T119" s="194">
        <v>0.318</v>
      </c>
      <c r="U119" s="194">
        <v>0.3</v>
      </c>
      <c r="V119" s="194">
        <v>10</v>
      </c>
      <c r="W119" s="194"/>
      <c r="X119" s="194"/>
      <c r="Y119" s="194"/>
      <c r="Z119" s="194"/>
      <c r="AA119" s="194"/>
      <c r="AB119" s="194"/>
      <c r="AC119" s="194"/>
      <c r="AD119" s="194"/>
      <c r="AE119" s="194"/>
      <c r="AF119" s="194"/>
      <c r="AG119" s="194"/>
      <c r="AH119" s="194"/>
      <c r="AI119" s="194"/>
      <c r="AJ119" s="194"/>
      <c r="AK119" s="194"/>
      <c r="AL119" s="55"/>
      <c r="AM119" s="55"/>
      <c r="AN119" s="55"/>
      <c r="AO119" s="55"/>
      <c r="AP119" s="55"/>
      <c r="AQ119" s="55"/>
      <c r="AR119" s="55"/>
      <c r="AS119" s="55"/>
      <c r="AT119" s="55"/>
      <c r="AU119" s="55"/>
      <c r="AV119" s="55"/>
      <c r="AW119" s="55"/>
      <c r="AX119" s="55"/>
      <c r="AY119" s="55"/>
      <c r="AZ119" s="55"/>
      <c r="BA119" s="55"/>
      <c r="BB119" s="55"/>
      <c r="BC119" s="55"/>
      <c r="BD119" s="55"/>
      <c r="BE119" s="55"/>
      <c r="BF119" s="55"/>
      <c r="BG119" s="55"/>
      <c r="BH119" s="55"/>
      <c r="BI119" s="55"/>
    </row>
    <row r="120" spans="1:61" x14ac:dyDescent="0.3">
      <c r="A120" s="193" t="s">
        <v>343</v>
      </c>
      <c r="B120" s="194">
        <v>0.89400000000000002</v>
      </c>
      <c r="C120" s="194">
        <v>0.97</v>
      </c>
      <c r="D120" s="194">
        <v>33</v>
      </c>
      <c r="E120" s="194">
        <v>0.89700000000000002</v>
      </c>
      <c r="F120" s="194">
        <v>0.81799999999999995</v>
      </c>
      <c r="G120" s="194">
        <v>33</v>
      </c>
      <c r="H120" s="194">
        <v>0.83299999999999996</v>
      </c>
      <c r="I120" s="194">
        <v>0.90300000000000002</v>
      </c>
      <c r="J120" s="194">
        <v>31</v>
      </c>
      <c r="K120" s="194">
        <v>0.84599999999999997</v>
      </c>
      <c r="L120" s="194">
        <v>0.75</v>
      </c>
      <c r="M120" s="194">
        <v>20</v>
      </c>
      <c r="N120" s="194">
        <v>0.83299999999999996</v>
      </c>
      <c r="O120" s="194">
        <v>0.85699999999999998</v>
      </c>
      <c r="P120" s="194">
        <v>14</v>
      </c>
      <c r="Q120" s="194">
        <v>0.88700000000000001</v>
      </c>
      <c r="R120" s="194">
        <v>0.9</v>
      </c>
      <c r="S120" s="194">
        <v>20</v>
      </c>
      <c r="T120" s="194">
        <v>0.89700000000000002</v>
      </c>
      <c r="U120" s="194">
        <v>0.89500000000000002</v>
      </c>
      <c r="V120" s="194">
        <v>19</v>
      </c>
      <c r="W120" s="194"/>
      <c r="X120" s="194"/>
      <c r="Y120" s="194"/>
      <c r="Z120" s="194"/>
      <c r="AA120" s="194"/>
      <c r="AB120" s="194"/>
      <c r="AC120" s="194"/>
      <c r="AD120" s="194"/>
      <c r="AE120" s="194"/>
      <c r="AF120" s="194"/>
      <c r="AG120" s="194"/>
      <c r="AH120" s="194"/>
      <c r="AI120" s="194"/>
      <c r="AJ120" s="194"/>
      <c r="AK120" s="194"/>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row>
    <row r="121" spans="1:61" x14ac:dyDescent="0.3">
      <c r="A121" s="193" t="s">
        <v>466</v>
      </c>
      <c r="B121" s="194">
        <v>0.54500000000000004</v>
      </c>
      <c r="C121" s="194">
        <v>0.41199999999999998</v>
      </c>
      <c r="D121" s="194">
        <v>17</v>
      </c>
      <c r="E121" s="194">
        <v>0.627</v>
      </c>
      <c r="F121" s="194">
        <v>0.68799999999999994</v>
      </c>
      <c r="G121" s="194">
        <v>16</v>
      </c>
      <c r="H121" s="194">
        <v>0.69</v>
      </c>
      <c r="I121" s="194">
        <v>0.73099999999999998</v>
      </c>
      <c r="J121" s="194">
        <v>26</v>
      </c>
      <c r="K121" s="194">
        <v>0.64200000000000002</v>
      </c>
      <c r="L121" s="194">
        <v>0.625</v>
      </c>
      <c r="M121" s="194">
        <v>16</v>
      </c>
      <c r="N121" s="194">
        <v>0.63</v>
      </c>
      <c r="O121" s="194">
        <v>0.56000000000000005</v>
      </c>
      <c r="P121" s="194">
        <v>25</v>
      </c>
      <c r="Q121" s="194">
        <v>0.67100000000000004</v>
      </c>
      <c r="R121" s="194">
        <v>0.68799999999999994</v>
      </c>
      <c r="S121" s="194">
        <v>32</v>
      </c>
      <c r="T121" s="194">
        <v>0.72199999999999998</v>
      </c>
      <c r="U121" s="194">
        <v>0.77300000000000002</v>
      </c>
      <c r="V121" s="194">
        <v>22</v>
      </c>
      <c r="W121" s="194"/>
      <c r="X121" s="194"/>
      <c r="Y121" s="194"/>
      <c r="Z121" s="194"/>
      <c r="AA121" s="194"/>
      <c r="AB121" s="194"/>
      <c r="AC121" s="194"/>
      <c r="AD121" s="194"/>
      <c r="AE121" s="194"/>
      <c r="AF121" s="194"/>
      <c r="AG121" s="194"/>
      <c r="AH121" s="194"/>
      <c r="AI121" s="194"/>
      <c r="AJ121" s="194"/>
      <c r="AK121" s="194"/>
      <c r="AL121" s="55"/>
      <c r="AM121" s="55"/>
      <c r="AN121" s="55"/>
      <c r="AO121" s="55"/>
      <c r="AP121" s="55"/>
      <c r="AQ121" s="55"/>
      <c r="AR121" s="55"/>
      <c r="AS121" s="55"/>
      <c r="AT121" s="55"/>
      <c r="AU121" s="55"/>
      <c r="AV121" s="55"/>
      <c r="AW121" s="55"/>
      <c r="AX121" s="55"/>
      <c r="AY121" s="55"/>
      <c r="AZ121" s="55"/>
      <c r="BA121" s="55"/>
      <c r="BB121" s="55"/>
      <c r="BC121" s="55"/>
      <c r="BD121" s="55"/>
      <c r="BE121" s="55"/>
      <c r="BF121" s="55"/>
      <c r="BG121" s="55"/>
      <c r="BH121" s="55"/>
      <c r="BI121" s="55"/>
    </row>
    <row r="122" spans="1:61" x14ac:dyDescent="0.3">
      <c r="A122" s="193" t="s">
        <v>376</v>
      </c>
      <c r="B122" s="194">
        <v>0.89400000000000002</v>
      </c>
      <c r="C122" s="194">
        <v>0.92600000000000005</v>
      </c>
      <c r="D122" s="194">
        <v>27</v>
      </c>
      <c r="E122" s="194">
        <v>0.91200000000000003</v>
      </c>
      <c r="F122" s="194">
        <v>0.85</v>
      </c>
      <c r="G122" s="194">
        <v>20</v>
      </c>
      <c r="H122" s="194">
        <v>0.86299999999999999</v>
      </c>
      <c r="I122" s="194">
        <v>0.95199999999999996</v>
      </c>
      <c r="J122" s="194">
        <v>21</v>
      </c>
      <c r="K122" s="194">
        <v>0.89700000000000002</v>
      </c>
      <c r="L122" s="194">
        <v>0.81299999999999994</v>
      </c>
      <c r="M122" s="194">
        <v>32</v>
      </c>
      <c r="N122" s="194">
        <v>0.872</v>
      </c>
      <c r="O122" s="194">
        <v>0.96</v>
      </c>
      <c r="P122" s="194">
        <v>25</v>
      </c>
      <c r="Q122" s="194">
        <v>0.91900000000000004</v>
      </c>
      <c r="R122" s="194">
        <v>0.86199999999999999</v>
      </c>
      <c r="S122" s="194">
        <v>29</v>
      </c>
      <c r="T122" s="194">
        <v>0.90500000000000003</v>
      </c>
      <c r="U122" s="194">
        <v>0.93300000000000005</v>
      </c>
      <c r="V122" s="194">
        <v>45</v>
      </c>
      <c r="W122" s="194"/>
      <c r="X122" s="194"/>
      <c r="Y122" s="194"/>
      <c r="Z122" s="194"/>
      <c r="AA122" s="194"/>
      <c r="AB122" s="194"/>
      <c r="AC122" s="194"/>
      <c r="AD122" s="194"/>
      <c r="AE122" s="194"/>
      <c r="AF122" s="194"/>
      <c r="AG122" s="194"/>
      <c r="AH122" s="194"/>
      <c r="AI122" s="194"/>
      <c r="AJ122" s="194"/>
      <c r="AK122" s="194"/>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row>
    <row r="123" spans="1:61" x14ac:dyDescent="0.3">
      <c r="A123" s="193" t="s">
        <v>534</v>
      </c>
      <c r="B123" s="194">
        <v>0.56499999999999995</v>
      </c>
      <c r="C123" s="194">
        <v>0.54300000000000004</v>
      </c>
      <c r="D123" s="194">
        <v>46</v>
      </c>
      <c r="E123" s="194">
        <v>0.57799999999999996</v>
      </c>
      <c r="F123" s="194">
        <v>0.58699999999999997</v>
      </c>
      <c r="G123" s="194">
        <v>46</v>
      </c>
      <c r="H123" s="194">
        <v>0.625</v>
      </c>
      <c r="I123" s="194">
        <v>0.60499999999999998</v>
      </c>
      <c r="J123" s="194">
        <v>43</v>
      </c>
      <c r="K123" s="194">
        <v>0.628</v>
      </c>
      <c r="L123" s="194">
        <v>0.73899999999999999</v>
      </c>
      <c r="M123" s="194">
        <v>23</v>
      </c>
      <c r="N123" s="194">
        <v>0.61499999999999999</v>
      </c>
      <c r="O123" s="194">
        <v>0.59599999999999997</v>
      </c>
      <c r="P123" s="194">
        <v>47</v>
      </c>
      <c r="Q123" s="194">
        <v>0.622</v>
      </c>
      <c r="R123" s="194">
        <v>0.57399999999999995</v>
      </c>
      <c r="S123" s="194">
        <v>47</v>
      </c>
      <c r="T123" s="194">
        <v>0.63400000000000001</v>
      </c>
      <c r="U123" s="194">
        <v>0.68500000000000005</v>
      </c>
      <c r="V123" s="194">
        <v>54</v>
      </c>
      <c r="W123" s="194"/>
      <c r="X123" s="194"/>
      <c r="Y123" s="194"/>
      <c r="Z123" s="194"/>
      <c r="AA123" s="194"/>
      <c r="AB123" s="194"/>
      <c r="AC123" s="194"/>
      <c r="AD123" s="194"/>
      <c r="AE123" s="194"/>
      <c r="AF123" s="194"/>
      <c r="AG123" s="194"/>
      <c r="AH123" s="194"/>
      <c r="AI123" s="194"/>
      <c r="AJ123" s="194"/>
      <c r="AK123" s="194"/>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row>
    <row r="124" spans="1:61" x14ac:dyDescent="0.3">
      <c r="A124" s="193"/>
      <c r="B124" s="194"/>
      <c r="C124" s="194"/>
      <c r="D124" s="194"/>
      <c r="E124" s="194"/>
      <c r="F124" s="194"/>
      <c r="G124" s="194"/>
      <c r="H124" s="194"/>
      <c r="I124" s="194"/>
      <c r="J124" s="194"/>
      <c r="K124" s="194"/>
      <c r="L124" s="194"/>
      <c r="M124" s="194"/>
      <c r="N124" s="194"/>
      <c r="O124" s="194"/>
      <c r="P124" s="194"/>
      <c r="Q124" s="194"/>
      <c r="R124" s="194"/>
      <c r="S124" s="194"/>
      <c r="T124" s="194"/>
      <c r="U124" s="194"/>
      <c r="V124" s="194"/>
      <c r="W124" s="194"/>
      <c r="X124" s="194"/>
      <c r="Y124" s="194"/>
      <c r="Z124" s="194"/>
      <c r="AA124" s="194"/>
      <c r="AB124" s="194"/>
      <c r="AC124" s="194"/>
      <c r="AD124" s="194"/>
      <c r="AE124" s="194"/>
      <c r="AF124" s="194"/>
      <c r="AG124" s="194"/>
      <c r="AH124" s="194"/>
      <c r="AI124" s="194"/>
      <c r="AJ124" s="194"/>
      <c r="AK124" s="194"/>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ED292-F727-41BB-A570-61A0836842DA}">
  <sheetPr>
    <tabColor theme="9" tint="0.79998168889431442"/>
  </sheetPr>
  <dimension ref="A1:BI124"/>
  <sheetViews>
    <sheetView workbookViewId="0">
      <pane xSplit="1" ySplit="1" topLeftCell="B2" activePane="bottomRight" state="frozen"/>
      <selection pane="topRight" activeCell="B1" sqref="B1"/>
      <selection pane="bottomLeft" activeCell="A2" sqref="A2"/>
      <selection pane="bottomRight" sqref="A1:V123"/>
    </sheetView>
  </sheetViews>
  <sheetFormatPr defaultRowHeight="14.4" x14ac:dyDescent="0.3"/>
  <cols>
    <col min="2" max="5" width="9.109375" style="120"/>
    <col min="10" max="10" width="10.109375" customWidth="1"/>
    <col min="13" max="13" width="10.109375" customWidth="1"/>
    <col min="16" max="16" width="11.33203125" customWidth="1"/>
    <col min="19" max="19" width="10.109375" customWidth="1"/>
    <col min="22" max="22" width="10.6640625" customWidth="1"/>
    <col min="25" max="25" width="11.109375" customWidth="1"/>
    <col min="28" max="28" width="10.88671875" customWidth="1"/>
    <col min="31" max="31" width="10.88671875" customWidth="1"/>
    <col min="34" max="34" width="12" customWidth="1"/>
    <col min="37" max="37" width="11.33203125" customWidth="1"/>
  </cols>
  <sheetData>
    <row r="1" spans="1:61" x14ac:dyDescent="0.3">
      <c r="A1" s="193" t="s">
        <v>259</v>
      </c>
      <c r="B1" s="193" t="s">
        <v>138</v>
      </c>
      <c r="C1" s="193" t="s">
        <v>125</v>
      </c>
      <c r="D1" s="193" t="s">
        <v>112</v>
      </c>
      <c r="E1" s="193" t="s">
        <v>139</v>
      </c>
      <c r="F1" s="193" t="s">
        <v>126</v>
      </c>
      <c r="G1" s="193" t="s">
        <v>113</v>
      </c>
      <c r="H1" s="193" t="s">
        <v>140</v>
      </c>
      <c r="I1" s="193" t="s">
        <v>127</v>
      </c>
      <c r="J1" s="193" t="s">
        <v>114</v>
      </c>
      <c r="K1" s="193" t="s">
        <v>141</v>
      </c>
      <c r="L1" s="193" t="s">
        <v>128</v>
      </c>
      <c r="M1" s="193" t="s">
        <v>115</v>
      </c>
      <c r="N1" s="193" t="s">
        <v>142</v>
      </c>
      <c r="O1" s="193" t="s">
        <v>129</v>
      </c>
      <c r="P1" s="193" t="s">
        <v>116</v>
      </c>
      <c r="Q1" s="193" t="s">
        <v>143</v>
      </c>
      <c r="R1" s="193" t="s">
        <v>130</v>
      </c>
      <c r="S1" s="193" t="s">
        <v>117</v>
      </c>
      <c r="T1" s="193" t="s">
        <v>144</v>
      </c>
      <c r="U1" s="193" t="s">
        <v>131</v>
      </c>
      <c r="V1" s="193" t="s">
        <v>118</v>
      </c>
      <c r="W1" s="193"/>
      <c r="X1" s="193"/>
      <c r="Y1" s="193"/>
      <c r="Z1" s="193"/>
      <c r="AA1" s="193"/>
      <c r="AB1" s="193"/>
      <c r="AC1" s="193"/>
      <c r="AD1" s="193"/>
      <c r="AE1" s="193"/>
      <c r="AF1" s="193"/>
      <c r="AG1" s="193"/>
      <c r="AH1" s="193"/>
      <c r="AI1" s="193"/>
      <c r="AJ1" s="193"/>
      <c r="AK1" s="193"/>
      <c r="AL1" s="55"/>
      <c r="AM1" s="55"/>
      <c r="AN1" s="55"/>
      <c r="AO1" s="55"/>
      <c r="AP1" s="55"/>
      <c r="AQ1" s="55"/>
      <c r="AR1" s="55"/>
      <c r="AS1" s="55"/>
      <c r="AT1" s="55"/>
      <c r="AU1" s="55"/>
      <c r="AV1" s="55"/>
      <c r="AW1" s="55"/>
      <c r="AX1" s="55"/>
      <c r="AY1" s="55"/>
      <c r="AZ1" s="55"/>
      <c r="BA1" s="55"/>
      <c r="BB1" s="55"/>
      <c r="BC1" s="55"/>
      <c r="BD1" s="55"/>
      <c r="BE1" s="55"/>
      <c r="BF1" s="55"/>
      <c r="BG1" s="55"/>
      <c r="BH1" s="55"/>
      <c r="BI1" s="55"/>
    </row>
    <row r="2" spans="1:61" x14ac:dyDescent="0.3">
      <c r="A2" s="193" t="s">
        <v>685</v>
      </c>
      <c r="B2" s="194">
        <v>0.61299999999999999</v>
      </c>
      <c r="C2" s="194">
        <v>0.63400000000000001</v>
      </c>
      <c r="D2" s="194">
        <v>2237</v>
      </c>
      <c r="E2" s="194">
        <v>0.57699999999999996</v>
      </c>
      <c r="F2" s="194">
        <v>0.59199999999999997</v>
      </c>
      <c r="G2" s="194">
        <v>2199</v>
      </c>
      <c r="H2" s="194">
        <v>0.56299999999999994</v>
      </c>
      <c r="I2" s="194">
        <v>0.50600000000000001</v>
      </c>
      <c r="J2" s="194">
        <v>2269</v>
      </c>
      <c r="K2" s="194">
        <v>0.56000000000000005</v>
      </c>
      <c r="L2" s="194">
        <v>0.59399999999999997</v>
      </c>
      <c r="M2" s="194">
        <v>2122</v>
      </c>
      <c r="N2" s="194">
        <v>0.59399999999999997</v>
      </c>
      <c r="O2" s="194">
        <v>0.58499999999999996</v>
      </c>
      <c r="P2" s="194">
        <v>2097</v>
      </c>
      <c r="Q2" s="194">
        <v>0.59699999999999998</v>
      </c>
      <c r="R2" s="194">
        <v>0.60399999999999998</v>
      </c>
      <c r="S2" s="194">
        <v>2239</v>
      </c>
      <c r="T2" s="194">
        <v>0.60299999999999998</v>
      </c>
      <c r="U2" s="194">
        <v>0.60099999999999998</v>
      </c>
      <c r="V2" s="194">
        <v>2172</v>
      </c>
      <c r="W2" s="194"/>
      <c r="X2" s="194"/>
      <c r="Y2" s="194"/>
      <c r="Z2" s="194"/>
      <c r="AA2" s="194"/>
      <c r="AB2" s="194"/>
      <c r="AC2" s="194"/>
      <c r="AD2" s="194"/>
      <c r="AE2" s="194"/>
      <c r="AF2" s="194"/>
      <c r="AG2" s="194"/>
      <c r="AH2" s="194"/>
      <c r="AI2" s="194"/>
      <c r="AJ2" s="194"/>
      <c r="AK2" s="194"/>
      <c r="AL2" s="55"/>
      <c r="AM2" s="55"/>
      <c r="AN2" s="55"/>
      <c r="AO2" s="55"/>
      <c r="AP2" s="55"/>
      <c r="AQ2" s="55"/>
      <c r="AR2" s="55"/>
      <c r="AS2" s="55"/>
      <c r="AT2" s="55"/>
      <c r="AU2" s="55"/>
      <c r="AV2" s="55"/>
      <c r="AW2" s="55"/>
      <c r="AX2" s="55"/>
      <c r="AY2" s="55"/>
      <c r="AZ2" s="55"/>
      <c r="BA2" s="55"/>
      <c r="BB2" s="55"/>
      <c r="BC2" s="55"/>
      <c r="BD2" s="55"/>
      <c r="BE2" s="55"/>
      <c r="BF2" s="55"/>
      <c r="BG2" s="55"/>
      <c r="BH2" s="55"/>
      <c r="BI2" s="55"/>
    </row>
    <row r="3" spans="1:61" x14ac:dyDescent="0.3">
      <c r="A3" s="193" t="s">
        <v>402</v>
      </c>
      <c r="B3" s="194">
        <v>0.80900000000000005</v>
      </c>
      <c r="C3" s="194">
        <v>0.85099999999999998</v>
      </c>
      <c r="D3" s="194">
        <v>47</v>
      </c>
      <c r="E3" s="194">
        <v>0.75</v>
      </c>
      <c r="F3" s="194">
        <v>0.76200000000000001</v>
      </c>
      <c r="G3" s="194">
        <v>42</v>
      </c>
      <c r="H3" s="194">
        <v>0.67</v>
      </c>
      <c r="I3" s="194">
        <v>0.61499999999999999</v>
      </c>
      <c r="J3" s="194">
        <v>39</v>
      </c>
      <c r="K3" s="194">
        <v>0.65100000000000002</v>
      </c>
      <c r="L3" s="194">
        <v>0.61299999999999999</v>
      </c>
      <c r="M3" s="194">
        <v>31</v>
      </c>
      <c r="N3" s="194">
        <v>0.63600000000000001</v>
      </c>
      <c r="O3" s="194">
        <v>0.69599999999999995</v>
      </c>
      <c r="P3" s="194">
        <v>56</v>
      </c>
      <c r="Q3" s="194">
        <v>0.58299999999999996</v>
      </c>
      <c r="R3" s="194">
        <v>0.55900000000000005</v>
      </c>
      <c r="S3" s="194">
        <v>34</v>
      </c>
      <c r="T3" s="194">
        <v>0.44700000000000001</v>
      </c>
      <c r="U3" s="194">
        <v>0.154</v>
      </c>
      <c r="V3" s="194">
        <v>13</v>
      </c>
      <c r="W3" s="194"/>
      <c r="X3" s="194"/>
      <c r="Y3" s="194"/>
      <c r="Z3" s="194"/>
      <c r="AA3" s="194"/>
      <c r="AB3" s="194"/>
      <c r="AC3" s="194"/>
      <c r="AD3" s="194"/>
      <c r="AE3" s="194"/>
      <c r="AF3" s="194"/>
      <c r="AG3" s="194"/>
      <c r="AH3" s="194"/>
      <c r="AI3" s="194"/>
      <c r="AJ3" s="194"/>
      <c r="AK3" s="194"/>
      <c r="AL3" s="55"/>
      <c r="AM3" s="55"/>
      <c r="AN3" s="55"/>
      <c r="AO3" s="55"/>
      <c r="AP3" s="55"/>
      <c r="AQ3" s="55"/>
      <c r="AR3" s="55"/>
      <c r="AS3" s="55"/>
      <c r="AT3" s="55"/>
      <c r="AU3" s="55"/>
      <c r="AV3" s="55"/>
      <c r="AW3" s="55"/>
      <c r="AX3" s="55"/>
      <c r="AY3" s="55"/>
      <c r="AZ3" s="55"/>
      <c r="BA3" s="55"/>
      <c r="BB3" s="55"/>
      <c r="BC3" s="55"/>
      <c r="BD3" s="55"/>
      <c r="BE3" s="55"/>
      <c r="BF3" s="55"/>
      <c r="BG3" s="55"/>
      <c r="BH3" s="55"/>
      <c r="BI3" s="55"/>
    </row>
    <row r="4" spans="1:61" x14ac:dyDescent="0.3">
      <c r="A4" s="193" t="s">
        <v>472</v>
      </c>
      <c r="B4" s="194">
        <v>0.625</v>
      </c>
      <c r="C4" s="194">
        <v>0.68100000000000005</v>
      </c>
      <c r="D4" s="194">
        <v>47</v>
      </c>
      <c r="E4" s="194">
        <v>0.61399999999999999</v>
      </c>
      <c r="F4" s="194">
        <v>0.56100000000000005</v>
      </c>
      <c r="G4" s="194">
        <v>41</v>
      </c>
      <c r="H4" s="194">
        <v>0.54900000000000004</v>
      </c>
      <c r="I4" s="194">
        <v>0.59</v>
      </c>
      <c r="J4" s="194">
        <v>39</v>
      </c>
      <c r="K4" s="194">
        <v>0.53300000000000003</v>
      </c>
      <c r="L4" s="194">
        <v>0.48499999999999999</v>
      </c>
      <c r="M4" s="194">
        <v>33</v>
      </c>
      <c r="N4" s="194">
        <v>0.53800000000000003</v>
      </c>
      <c r="O4" s="194">
        <v>0.51400000000000001</v>
      </c>
      <c r="P4" s="194">
        <v>35</v>
      </c>
      <c r="Q4" s="194">
        <v>0.505</v>
      </c>
      <c r="R4" s="194">
        <v>0.61099999999999999</v>
      </c>
      <c r="S4" s="194">
        <v>36</v>
      </c>
      <c r="T4" s="194">
        <v>0.5</v>
      </c>
      <c r="U4" s="194">
        <v>0.38900000000000001</v>
      </c>
      <c r="V4" s="194">
        <v>36</v>
      </c>
      <c r="W4" s="194"/>
      <c r="X4" s="194"/>
      <c r="Y4" s="194"/>
      <c r="Z4" s="194"/>
      <c r="AA4" s="194"/>
      <c r="AB4" s="194"/>
      <c r="AC4" s="194"/>
      <c r="AD4" s="194"/>
      <c r="AE4" s="194"/>
      <c r="AF4" s="194"/>
      <c r="AG4" s="194"/>
      <c r="AH4" s="194"/>
      <c r="AI4" s="194"/>
      <c r="AJ4" s="194"/>
      <c r="AK4" s="194"/>
      <c r="AL4" s="55"/>
      <c r="AM4" s="55"/>
      <c r="AN4" s="55"/>
      <c r="AO4" s="55"/>
      <c r="AP4" s="55"/>
      <c r="AQ4" s="55"/>
      <c r="AR4" s="55"/>
      <c r="AS4" s="55"/>
      <c r="AT4" s="55"/>
      <c r="AU4" s="55"/>
      <c r="AV4" s="55"/>
      <c r="AW4" s="55"/>
      <c r="AX4" s="55"/>
      <c r="AY4" s="55"/>
      <c r="AZ4" s="55"/>
      <c r="BA4" s="55"/>
      <c r="BB4" s="55"/>
      <c r="BC4" s="55"/>
      <c r="BD4" s="55"/>
      <c r="BE4" s="55"/>
      <c r="BF4" s="55"/>
      <c r="BG4" s="55"/>
      <c r="BH4" s="55"/>
      <c r="BI4" s="55"/>
    </row>
    <row r="5" spans="1:61" x14ac:dyDescent="0.3">
      <c r="A5" s="193" t="s">
        <v>524</v>
      </c>
      <c r="B5" s="194">
        <v>0.76300000000000001</v>
      </c>
      <c r="C5" s="194">
        <v>0.85299999999999998</v>
      </c>
      <c r="D5" s="194">
        <v>34</v>
      </c>
      <c r="E5" s="194">
        <v>0.76800000000000002</v>
      </c>
      <c r="F5" s="194">
        <v>0.64</v>
      </c>
      <c r="G5" s="194">
        <v>25</v>
      </c>
      <c r="H5" s="194">
        <v>0.71799999999999997</v>
      </c>
      <c r="I5" s="194">
        <v>0.78300000000000003</v>
      </c>
      <c r="J5" s="194">
        <v>23</v>
      </c>
      <c r="K5" s="194">
        <v>0.64</v>
      </c>
      <c r="L5" s="194">
        <v>0.73299999999999998</v>
      </c>
      <c r="M5" s="194">
        <v>30</v>
      </c>
      <c r="N5" s="194">
        <v>0.61099999999999999</v>
      </c>
      <c r="O5" s="194">
        <v>0.36399999999999999</v>
      </c>
      <c r="P5" s="194">
        <v>22</v>
      </c>
      <c r="Q5" s="194">
        <v>0.58799999999999997</v>
      </c>
      <c r="R5" s="194">
        <v>0.7</v>
      </c>
      <c r="S5" s="194">
        <v>20</v>
      </c>
      <c r="T5" s="194">
        <v>0.69599999999999995</v>
      </c>
      <c r="U5" s="194">
        <v>0.69199999999999995</v>
      </c>
      <c r="V5" s="194">
        <v>26</v>
      </c>
      <c r="W5" s="194"/>
      <c r="X5" s="194"/>
      <c r="Y5" s="194"/>
      <c r="Z5" s="194"/>
      <c r="AA5" s="194"/>
      <c r="AB5" s="194"/>
      <c r="AC5" s="194"/>
      <c r="AD5" s="194"/>
      <c r="AE5" s="194"/>
      <c r="AF5" s="194"/>
      <c r="AG5" s="194"/>
      <c r="AH5" s="194"/>
      <c r="AI5" s="194"/>
      <c r="AJ5" s="194"/>
      <c r="AK5" s="194"/>
      <c r="AL5" s="55"/>
      <c r="AM5" s="55"/>
      <c r="AN5" s="55"/>
      <c r="AO5" s="55"/>
      <c r="AP5" s="55"/>
      <c r="AQ5" s="55"/>
      <c r="AR5" s="55"/>
      <c r="AS5" s="55"/>
      <c r="AT5" s="55"/>
      <c r="AU5" s="55"/>
      <c r="AV5" s="55"/>
      <c r="AW5" s="55"/>
      <c r="AX5" s="55"/>
      <c r="AY5" s="55"/>
      <c r="AZ5" s="55"/>
      <c r="BA5" s="55"/>
      <c r="BB5" s="55"/>
      <c r="BC5" s="55"/>
      <c r="BD5" s="55"/>
      <c r="BE5" s="55"/>
      <c r="BF5" s="55"/>
      <c r="BG5" s="55"/>
      <c r="BH5" s="55"/>
      <c r="BI5" s="55"/>
    </row>
    <row r="6" spans="1:61" x14ac:dyDescent="0.3">
      <c r="A6" s="193" t="s">
        <v>378</v>
      </c>
      <c r="B6" s="194">
        <v>0.70599999999999996</v>
      </c>
      <c r="C6" s="194">
        <v>0.4</v>
      </c>
      <c r="D6" s="194">
        <v>5</v>
      </c>
      <c r="E6" s="194">
        <v>0.57699999999999996</v>
      </c>
      <c r="F6" s="194">
        <v>0.83299999999999996</v>
      </c>
      <c r="G6" s="194">
        <v>12</v>
      </c>
      <c r="H6" s="194">
        <v>0.55600000000000005</v>
      </c>
      <c r="I6" s="194">
        <v>0.33300000000000002</v>
      </c>
      <c r="J6" s="194">
        <v>9</v>
      </c>
      <c r="K6" s="194">
        <v>0.4</v>
      </c>
      <c r="L6" s="194">
        <v>0.33300000000000002</v>
      </c>
      <c r="M6" s="194">
        <v>6</v>
      </c>
      <c r="N6" s="194">
        <v>0.57099999999999995</v>
      </c>
      <c r="O6" s="194">
        <v>0.6</v>
      </c>
      <c r="P6" s="194">
        <v>5</v>
      </c>
      <c r="Q6" s="194">
        <v>0.47099999999999997</v>
      </c>
      <c r="R6" s="194">
        <v>1</v>
      </c>
      <c r="S6" s="194">
        <v>3</v>
      </c>
      <c r="T6" s="194">
        <v>0.41699999999999998</v>
      </c>
      <c r="U6" s="194">
        <v>0.222</v>
      </c>
      <c r="V6" s="194">
        <v>9</v>
      </c>
      <c r="W6" s="194"/>
      <c r="X6" s="194"/>
      <c r="Y6" s="194"/>
      <c r="Z6" s="194"/>
      <c r="AA6" s="194"/>
      <c r="AB6" s="194"/>
      <c r="AC6" s="194"/>
      <c r="AD6" s="194"/>
      <c r="AE6" s="194"/>
      <c r="AF6" s="194"/>
      <c r="AG6" s="194"/>
      <c r="AH6" s="194"/>
      <c r="AI6" s="194"/>
      <c r="AJ6" s="194"/>
      <c r="AK6" s="194"/>
      <c r="AL6" s="55"/>
      <c r="AM6" s="55"/>
      <c r="AN6" s="55"/>
      <c r="AO6" s="55"/>
      <c r="AP6" s="55"/>
      <c r="AQ6" s="55"/>
      <c r="AR6" s="55"/>
      <c r="AS6" s="55"/>
      <c r="AT6" s="55"/>
      <c r="AU6" s="55"/>
      <c r="AV6" s="55"/>
      <c r="AW6" s="55"/>
      <c r="AX6" s="55"/>
      <c r="AY6" s="55"/>
      <c r="AZ6" s="55"/>
      <c r="BA6" s="55"/>
      <c r="BB6" s="55"/>
      <c r="BC6" s="55"/>
      <c r="BD6" s="55"/>
      <c r="BE6" s="55"/>
      <c r="BF6" s="55"/>
      <c r="BG6" s="55"/>
      <c r="BH6" s="55"/>
      <c r="BI6" s="55"/>
    </row>
    <row r="7" spans="1:61" x14ac:dyDescent="0.3">
      <c r="A7" s="193" t="s">
        <v>281</v>
      </c>
      <c r="B7" s="194">
        <v>0.52400000000000002</v>
      </c>
      <c r="C7" s="194">
        <v>0.54500000000000004</v>
      </c>
      <c r="D7" s="194">
        <v>11</v>
      </c>
      <c r="E7" s="194">
        <v>0.52200000000000002</v>
      </c>
      <c r="F7" s="194">
        <v>0.5</v>
      </c>
      <c r="G7" s="194">
        <v>10</v>
      </c>
      <c r="H7" s="194">
        <v>0.46600000000000003</v>
      </c>
      <c r="I7" s="194">
        <v>0.52</v>
      </c>
      <c r="J7" s="194">
        <v>25</v>
      </c>
      <c r="K7" s="194">
        <v>0.42599999999999999</v>
      </c>
      <c r="L7" s="194">
        <v>0.39100000000000001</v>
      </c>
      <c r="M7" s="194">
        <v>23</v>
      </c>
      <c r="N7" s="194">
        <v>0.28899999999999998</v>
      </c>
      <c r="O7" s="194">
        <v>0.16700000000000001</v>
      </c>
      <c r="P7" s="194">
        <v>6</v>
      </c>
      <c r="Q7" s="194">
        <v>0.114</v>
      </c>
      <c r="R7" s="194">
        <v>0.111</v>
      </c>
      <c r="S7" s="194">
        <v>9</v>
      </c>
      <c r="T7" s="194">
        <v>0.10299999999999999</v>
      </c>
      <c r="U7" s="194">
        <v>0.1</v>
      </c>
      <c r="V7" s="194">
        <v>20</v>
      </c>
      <c r="W7" s="194"/>
      <c r="X7" s="194"/>
      <c r="Y7" s="194"/>
      <c r="Z7" s="194"/>
      <c r="AA7" s="194"/>
      <c r="AB7" s="194"/>
      <c r="AC7" s="194"/>
      <c r="AD7" s="194"/>
      <c r="AE7" s="194"/>
      <c r="AF7" s="194"/>
      <c r="AG7" s="194"/>
      <c r="AH7" s="194"/>
      <c r="AI7" s="194"/>
      <c r="AJ7" s="194"/>
      <c r="AK7" s="194"/>
      <c r="AL7" s="55"/>
      <c r="AM7" s="55"/>
      <c r="AN7" s="55"/>
      <c r="AO7" s="55"/>
      <c r="AP7" s="55"/>
      <c r="AQ7" s="55"/>
      <c r="AR7" s="55"/>
      <c r="AS7" s="55"/>
      <c r="AT7" s="55"/>
      <c r="AU7" s="55"/>
      <c r="AV7" s="55"/>
      <c r="AW7" s="55"/>
      <c r="AX7" s="55"/>
      <c r="AY7" s="55"/>
      <c r="AZ7" s="55"/>
      <c r="BA7" s="55"/>
      <c r="BB7" s="55"/>
      <c r="BC7" s="55"/>
      <c r="BD7" s="55"/>
      <c r="BE7" s="55"/>
      <c r="BF7" s="55"/>
      <c r="BG7" s="55"/>
      <c r="BH7" s="55"/>
      <c r="BI7" s="55"/>
    </row>
    <row r="8" spans="1:61" x14ac:dyDescent="0.3">
      <c r="A8" s="193" t="s">
        <v>398</v>
      </c>
      <c r="B8" s="194">
        <v>0.67700000000000005</v>
      </c>
      <c r="C8" s="194">
        <v>0.66700000000000004</v>
      </c>
      <c r="D8" s="194">
        <v>18</v>
      </c>
      <c r="E8" s="194">
        <v>0.71399999999999997</v>
      </c>
      <c r="F8" s="194">
        <v>0.69199999999999995</v>
      </c>
      <c r="G8" s="194">
        <v>13</v>
      </c>
      <c r="H8" s="194">
        <v>0.73699999999999999</v>
      </c>
      <c r="I8" s="194">
        <v>0.77800000000000002</v>
      </c>
      <c r="J8" s="194">
        <v>18</v>
      </c>
      <c r="K8" s="194">
        <v>0.71399999999999997</v>
      </c>
      <c r="L8" s="194">
        <v>0.71399999999999997</v>
      </c>
      <c r="M8" s="194">
        <v>7</v>
      </c>
      <c r="N8" s="194">
        <v>0.57699999999999996</v>
      </c>
      <c r="O8" s="194">
        <v>0.6</v>
      </c>
      <c r="P8" s="194">
        <v>10</v>
      </c>
      <c r="Q8" s="194">
        <v>0.52900000000000003</v>
      </c>
      <c r="R8" s="194">
        <v>0.44400000000000001</v>
      </c>
      <c r="S8" s="194">
        <v>9</v>
      </c>
      <c r="T8" s="194">
        <v>0.5</v>
      </c>
      <c r="U8" s="194">
        <v>0.53300000000000003</v>
      </c>
      <c r="V8" s="194">
        <v>15</v>
      </c>
      <c r="W8" s="194"/>
      <c r="X8" s="194"/>
      <c r="Y8" s="194"/>
      <c r="Z8" s="194"/>
      <c r="AA8" s="194"/>
      <c r="AB8" s="194"/>
      <c r="AC8" s="194"/>
      <c r="AD8" s="194"/>
      <c r="AE8" s="194"/>
      <c r="AF8" s="194"/>
      <c r="AG8" s="194"/>
      <c r="AH8" s="194"/>
      <c r="AI8" s="194"/>
      <c r="AJ8" s="194"/>
      <c r="AK8" s="194"/>
      <c r="AL8" s="55"/>
      <c r="AM8" s="55"/>
      <c r="AN8" s="55"/>
      <c r="AO8" s="55"/>
      <c r="AP8" s="55"/>
      <c r="AQ8" s="55"/>
      <c r="AR8" s="55"/>
      <c r="AS8" s="55"/>
      <c r="AT8" s="55"/>
      <c r="AU8" s="55"/>
      <c r="AV8" s="55"/>
      <c r="AW8" s="55"/>
      <c r="AX8" s="55"/>
      <c r="AY8" s="55"/>
      <c r="AZ8" s="55"/>
      <c r="BA8" s="55"/>
      <c r="BB8" s="55"/>
      <c r="BC8" s="55"/>
      <c r="BD8" s="55"/>
      <c r="BE8" s="55"/>
      <c r="BF8" s="55"/>
      <c r="BG8" s="55"/>
      <c r="BH8" s="55"/>
      <c r="BI8" s="55"/>
    </row>
    <row r="9" spans="1:61" x14ac:dyDescent="0.3">
      <c r="A9" s="193" t="s">
        <v>452</v>
      </c>
      <c r="B9" s="194">
        <v>0.53300000000000003</v>
      </c>
      <c r="C9" s="194">
        <v>0.41199999999999998</v>
      </c>
      <c r="D9" s="194">
        <v>17</v>
      </c>
      <c r="E9" s="194">
        <v>0.52400000000000002</v>
      </c>
      <c r="F9" s="194">
        <v>0.69199999999999995</v>
      </c>
      <c r="G9" s="194">
        <v>13</v>
      </c>
      <c r="H9" s="194">
        <v>0.47599999999999998</v>
      </c>
      <c r="I9" s="194">
        <v>0.5</v>
      </c>
      <c r="J9" s="194">
        <v>12</v>
      </c>
      <c r="K9" s="194">
        <v>0.38500000000000001</v>
      </c>
      <c r="L9" s="194">
        <v>0.29399999999999998</v>
      </c>
      <c r="M9" s="194">
        <v>17</v>
      </c>
      <c r="N9" s="194">
        <v>0.44900000000000001</v>
      </c>
      <c r="O9" s="194">
        <v>0.4</v>
      </c>
      <c r="P9" s="194">
        <v>10</v>
      </c>
      <c r="Q9" s="194">
        <v>0.58299999999999996</v>
      </c>
      <c r="R9" s="194">
        <v>0.59099999999999997</v>
      </c>
      <c r="S9" s="194">
        <v>22</v>
      </c>
      <c r="T9" s="194">
        <v>0.63200000000000001</v>
      </c>
      <c r="U9" s="194">
        <v>0.68799999999999994</v>
      </c>
      <c r="V9" s="194">
        <v>16</v>
      </c>
      <c r="W9" s="194"/>
      <c r="X9" s="194"/>
      <c r="Y9" s="194"/>
      <c r="Z9" s="194"/>
      <c r="AA9" s="194"/>
      <c r="AB9" s="194"/>
      <c r="AC9" s="194"/>
      <c r="AD9" s="194"/>
      <c r="AE9" s="194"/>
      <c r="AF9" s="194"/>
      <c r="AG9" s="194"/>
      <c r="AH9" s="194"/>
      <c r="AI9" s="194"/>
      <c r="AJ9" s="194"/>
      <c r="AK9" s="194"/>
      <c r="AL9" s="55"/>
      <c r="AM9" s="55"/>
      <c r="AN9" s="55"/>
      <c r="AO9" s="55"/>
      <c r="AP9" s="55"/>
      <c r="AQ9" s="55"/>
      <c r="AR9" s="55"/>
      <c r="AS9" s="55"/>
      <c r="AT9" s="55"/>
      <c r="AU9" s="55"/>
      <c r="AV9" s="55"/>
      <c r="AW9" s="55"/>
      <c r="AX9" s="55"/>
      <c r="AY9" s="55"/>
      <c r="AZ9" s="55"/>
      <c r="BA9" s="55"/>
      <c r="BB9" s="55"/>
      <c r="BC9" s="55"/>
      <c r="BD9" s="55"/>
      <c r="BE9" s="55"/>
      <c r="BF9" s="55"/>
      <c r="BG9" s="55"/>
      <c r="BH9" s="55"/>
      <c r="BI9" s="55"/>
    </row>
    <row r="10" spans="1:61" x14ac:dyDescent="0.3">
      <c r="A10" s="193" t="s">
        <v>520</v>
      </c>
      <c r="B10" s="194">
        <v>0.66700000000000004</v>
      </c>
      <c r="C10" s="194">
        <v>0.5</v>
      </c>
      <c r="D10" s="194">
        <v>2</v>
      </c>
      <c r="E10" s="194">
        <v>0.5</v>
      </c>
      <c r="F10" s="194">
        <v>0.71399999999999997</v>
      </c>
      <c r="G10" s="194">
        <v>7</v>
      </c>
      <c r="H10" s="194">
        <v>0.46200000000000002</v>
      </c>
      <c r="I10" s="194">
        <v>0.2</v>
      </c>
      <c r="J10" s="194">
        <v>5</v>
      </c>
      <c r="K10" s="194">
        <v>0.2</v>
      </c>
      <c r="L10" s="194">
        <v>0</v>
      </c>
      <c r="M10" s="194">
        <v>1</v>
      </c>
      <c r="N10" s="194">
        <v>0.16700000000000001</v>
      </c>
      <c r="O10" s="194">
        <v>0.25</v>
      </c>
      <c r="P10" s="194">
        <v>4</v>
      </c>
      <c r="Q10" s="194">
        <v>0.125</v>
      </c>
      <c r="R10" s="194">
        <v>0</v>
      </c>
      <c r="S10" s="194">
        <v>1</v>
      </c>
      <c r="T10" s="194">
        <v>0</v>
      </c>
      <c r="U10" s="194">
        <v>0</v>
      </c>
      <c r="V10" s="194">
        <v>3</v>
      </c>
      <c r="W10" s="194"/>
      <c r="X10" s="194"/>
      <c r="Y10" s="194"/>
      <c r="Z10" s="194"/>
      <c r="AA10" s="194"/>
      <c r="AB10" s="194"/>
      <c r="AC10" s="194"/>
      <c r="AD10" s="194"/>
      <c r="AE10" s="194"/>
      <c r="AF10" s="194"/>
      <c r="AG10" s="194"/>
      <c r="AH10" s="194"/>
      <c r="AI10" s="194"/>
      <c r="AJ10" s="194"/>
      <c r="AK10" s="194"/>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row>
    <row r="11" spans="1:61" x14ac:dyDescent="0.3">
      <c r="A11" s="193" t="s">
        <v>510</v>
      </c>
      <c r="B11" s="194">
        <v>0.55600000000000005</v>
      </c>
      <c r="C11" s="194">
        <v>0.5</v>
      </c>
      <c r="D11" s="194">
        <v>12</v>
      </c>
      <c r="E11" s="194">
        <v>0.55300000000000005</v>
      </c>
      <c r="F11" s="194">
        <v>0.6</v>
      </c>
      <c r="G11" s="194">
        <v>15</v>
      </c>
      <c r="H11" s="194">
        <v>0.52800000000000002</v>
      </c>
      <c r="I11" s="194">
        <v>0.54500000000000004</v>
      </c>
      <c r="J11" s="194">
        <v>11</v>
      </c>
      <c r="K11" s="194">
        <v>0.55600000000000005</v>
      </c>
      <c r="L11" s="194">
        <v>0.4</v>
      </c>
      <c r="M11" s="194">
        <v>10</v>
      </c>
      <c r="N11" s="194">
        <v>0.53100000000000003</v>
      </c>
      <c r="O11" s="194">
        <v>0.66700000000000004</v>
      </c>
      <c r="P11" s="194">
        <v>15</v>
      </c>
      <c r="Q11" s="194">
        <v>0.58799999999999997</v>
      </c>
      <c r="R11" s="194">
        <v>0.42899999999999999</v>
      </c>
      <c r="S11" s="194">
        <v>7</v>
      </c>
      <c r="T11" s="194">
        <v>0.52600000000000002</v>
      </c>
      <c r="U11" s="194">
        <v>0.58299999999999996</v>
      </c>
      <c r="V11" s="194">
        <v>12</v>
      </c>
      <c r="W11" s="194"/>
      <c r="X11" s="194"/>
      <c r="Y11" s="194"/>
      <c r="Z11" s="194"/>
      <c r="AA11" s="194"/>
      <c r="AB11" s="194"/>
      <c r="AC11" s="194"/>
      <c r="AD11" s="194"/>
      <c r="AE11" s="194"/>
      <c r="AF11" s="194"/>
      <c r="AG11" s="194"/>
      <c r="AH11" s="194"/>
      <c r="AI11" s="194"/>
      <c r="AJ11" s="194"/>
      <c r="AK11" s="194"/>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row>
    <row r="12" spans="1:61" x14ac:dyDescent="0.3">
      <c r="A12" s="193" t="s">
        <v>296</v>
      </c>
      <c r="B12" s="194">
        <v>0.69199999999999995</v>
      </c>
      <c r="C12" s="194">
        <v>0.81799999999999995</v>
      </c>
      <c r="D12" s="194">
        <v>11</v>
      </c>
      <c r="E12" s="194">
        <v>0.65</v>
      </c>
      <c r="F12" s="194">
        <v>0.6</v>
      </c>
      <c r="G12" s="194">
        <v>15</v>
      </c>
      <c r="H12" s="194">
        <v>0.66700000000000004</v>
      </c>
      <c r="I12" s="194">
        <v>0.57099999999999995</v>
      </c>
      <c r="J12" s="194">
        <v>14</v>
      </c>
      <c r="K12" s="194">
        <v>0.69399999999999995</v>
      </c>
      <c r="L12" s="194">
        <v>0.9</v>
      </c>
      <c r="M12" s="194">
        <v>10</v>
      </c>
      <c r="N12" s="194">
        <v>0.75600000000000001</v>
      </c>
      <c r="O12" s="194">
        <v>0.66700000000000004</v>
      </c>
      <c r="P12" s="194">
        <v>12</v>
      </c>
      <c r="Q12" s="194">
        <v>0.75</v>
      </c>
      <c r="R12" s="194">
        <v>0.73699999999999999</v>
      </c>
      <c r="S12" s="194">
        <v>19</v>
      </c>
      <c r="T12" s="194">
        <v>0.78600000000000003</v>
      </c>
      <c r="U12" s="194">
        <v>0.88900000000000001</v>
      </c>
      <c r="V12" s="194">
        <v>9</v>
      </c>
      <c r="W12" s="194"/>
      <c r="X12" s="194"/>
      <c r="Y12" s="194"/>
      <c r="Z12" s="194"/>
      <c r="AA12" s="194"/>
      <c r="AB12" s="194"/>
      <c r="AC12" s="194"/>
      <c r="AD12" s="194"/>
      <c r="AE12" s="194"/>
      <c r="AF12" s="194"/>
      <c r="AG12" s="194"/>
      <c r="AH12" s="194"/>
      <c r="AI12" s="194"/>
      <c r="AJ12" s="194"/>
      <c r="AK12" s="194"/>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row>
    <row r="13" spans="1:61" x14ac:dyDescent="0.3">
      <c r="A13" s="193" t="s">
        <v>406</v>
      </c>
      <c r="B13" s="194">
        <v>0.66300000000000003</v>
      </c>
      <c r="C13" s="194">
        <v>0.59599999999999997</v>
      </c>
      <c r="D13" s="194">
        <v>47</v>
      </c>
      <c r="E13" s="194">
        <v>0.57699999999999996</v>
      </c>
      <c r="F13" s="194">
        <v>0.72899999999999998</v>
      </c>
      <c r="G13" s="194">
        <v>48</v>
      </c>
      <c r="H13" s="194">
        <v>0.61599999999999999</v>
      </c>
      <c r="I13" s="194">
        <v>0.42599999999999999</v>
      </c>
      <c r="J13" s="194">
        <v>54</v>
      </c>
      <c r="K13" s="194">
        <v>0.54100000000000004</v>
      </c>
      <c r="L13" s="194">
        <v>0.70199999999999996</v>
      </c>
      <c r="M13" s="194">
        <v>57</v>
      </c>
      <c r="N13" s="194">
        <v>0.64300000000000002</v>
      </c>
      <c r="O13" s="194">
        <v>0.45700000000000002</v>
      </c>
      <c r="P13" s="194">
        <v>35</v>
      </c>
      <c r="Q13" s="194">
        <v>0.626</v>
      </c>
      <c r="R13" s="194">
        <v>0.73499999999999999</v>
      </c>
      <c r="S13" s="194">
        <v>34</v>
      </c>
      <c r="T13" s="194">
        <v>0.73199999999999998</v>
      </c>
      <c r="U13" s="194">
        <v>0.72699999999999998</v>
      </c>
      <c r="V13" s="194">
        <v>22</v>
      </c>
      <c r="W13" s="194"/>
      <c r="X13" s="194"/>
      <c r="Y13" s="194"/>
      <c r="Z13" s="194"/>
      <c r="AA13" s="194"/>
      <c r="AB13" s="194"/>
      <c r="AC13" s="194"/>
      <c r="AD13" s="194"/>
      <c r="AE13" s="194"/>
      <c r="AF13" s="194"/>
      <c r="AG13" s="194"/>
      <c r="AH13" s="194"/>
      <c r="AI13" s="194"/>
      <c r="AJ13" s="194"/>
      <c r="AK13" s="194"/>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row>
    <row r="14" spans="1:61" x14ac:dyDescent="0.3">
      <c r="A14" s="193" t="s">
        <v>450</v>
      </c>
      <c r="B14" s="194">
        <v>0.161</v>
      </c>
      <c r="C14" s="194">
        <v>0.14299999999999999</v>
      </c>
      <c r="D14" s="194">
        <v>63</v>
      </c>
      <c r="E14" s="194">
        <v>0.13900000000000001</v>
      </c>
      <c r="F14" s="194">
        <v>0.18</v>
      </c>
      <c r="G14" s="194">
        <v>61</v>
      </c>
      <c r="H14" s="194">
        <v>0.14599999999999999</v>
      </c>
      <c r="I14" s="194">
        <v>9.5000000000000001E-2</v>
      </c>
      <c r="J14" s="194">
        <v>63</v>
      </c>
      <c r="K14" s="194">
        <v>0.114</v>
      </c>
      <c r="L14" s="194">
        <v>0.16700000000000001</v>
      </c>
      <c r="M14" s="194">
        <v>54</v>
      </c>
      <c r="N14" s="194">
        <v>0.127</v>
      </c>
      <c r="O14" s="194">
        <v>8.5000000000000006E-2</v>
      </c>
      <c r="P14" s="194">
        <v>59</v>
      </c>
      <c r="Q14" s="194">
        <v>8.5999999999999993E-2</v>
      </c>
      <c r="R14" s="194">
        <v>0.13200000000000001</v>
      </c>
      <c r="S14" s="194">
        <v>53</v>
      </c>
      <c r="T14" s="194">
        <v>8.5999999999999993E-2</v>
      </c>
      <c r="U14" s="194">
        <v>2.5000000000000001E-2</v>
      </c>
      <c r="V14" s="194">
        <v>40</v>
      </c>
      <c r="W14" s="194"/>
      <c r="X14" s="194"/>
      <c r="Y14" s="194"/>
      <c r="Z14" s="194"/>
      <c r="AA14" s="194"/>
      <c r="AB14" s="194"/>
      <c r="AC14" s="194"/>
      <c r="AD14" s="194"/>
      <c r="AE14" s="194"/>
      <c r="AF14" s="194"/>
      <c r="AG14" s="194"/>
      <c r="AH14" s="194"/>
      <c r="AI14" s="194"/>
      <c r="AJ14" s="194"/>
      <c r="AK14" s="194"/>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row>
    <row r="15" spans="1:61" x14ac:dyDescent="0.3">
      <c r="A15" s="193" t="s">
        <v>420</v>
      </c>
      <c r="B15" s="194">
        <v>0</v>
      </c>
      <c r="C15" s="194">
        <v>0</v>
      </c>
      <c r="D15" s="194">
        <v>3</v>
      </c>
      <c r="E15" s="194">
        <v>0.16700000000000001</v>
      </c>
      <c r="F15" s="194"/>
      <c r="G15" s="194"/>
      <c r="H15" s="194">
        <v>0.33300000000000002</v>
      </c>
      <c r="I15" s="194">
        <v>0.33300000000000002</v>
      </c>
      <c r="J15" s="194">
        <v>3</v>
      </c>
      <c r="K15" s="194">
        <v>0.28599999999999998</v>
      </c>
      <c r="L15" s="194">
        <v>0.33300000000000002</v>
      </c>
      <c r="M15" s="194">
        <v>3</v>
      </c>
      <c r="N15" s="194">
        <v>0.28599999999999998</v>
      </c>
      <c r="O15" s="194">
        <v>0</v>
      </c>
      <c r="P15" s="194">
        <v>1</v>
      </c>
      <c r="Q15" s="194">
        <v>0.16700000000000001</v>
      </c>
      <c r="R15" s="194">
        <v>0.33300000000000002</v>
      </c>
      <c r="S15" s="194">
        <v>3</v>
      </c>
      <c r="T15" s="194">
        <v>0.2</v>
      </c>
      <c r="U15" s="194">
        <v>0</v>
      </c>
      <c r="V15" s="194">
        <v>2</v>
      </c>
      <c r="W15" s="194"/>
      <c r="X15" s="194"/>
      <c r="Y15" s="194"/>
      <c r="Z15" s="194"/>
      <c r="AA15" s="194"/>
      <c r="AB15" s="194"/>
      <c r="AC15" s="194"/>
      <c r="AD15" s="194"/>
      <c r="AE15" s="194"/>
      <c r="AF15" s="194"/>
      <c r="AG15" s="194"/>
      <c r="AH15" s="194"/>
      <c r="AI15" s="194"/>
      <c r="AJ15" s="194"/>
      <c r="AK15" s="194"/>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row>
    <row r="16" spans="1:61" x14ac:dyDescent="0.3">
      <c r="A16" s="193" t="s">
        <v>494</v>
      </c>
      <c r="B16" s="194">
        <v>0.8</v>
      </c>
      <c r="C16" s="194">
        <v>0.66700000000000004</v>
      </c>
      <c r="D16" s="194">
        <v>6</v>
      </c>
      <c r="E16" s="194">
        <v>0.75</v>
      </c>
      <c r="F16" s="194">
        <v>1</v>
      </c>
      <c r="G16" s="194">
        <v>4</v>
      </c>
      <c r="H16" s="194">
        <v>0.75</v>
      </c>
      <c r="I16" s="194">
        <v>0.66700000000000004</v>
      </c>
      <c r="J16" s="194">
        <v>6</v>
      </c>
      <c r="K16" s="194">
        <v>0.81299999999999994</v>
      </c>
      <c r="L16" s="194">
        <v>0.5</v>
      </c>
      <c r="M16" s="194">
        <v>2</v>
      </c>
      <c r="N16" s="194">
        <v>0.93799999999999994</v>
      </c>
      <c r="O16" s="194">
        <v>1</v>
      </c>
      <c r="P16" s="194">
        <v>8</v>
      </c>
      <c r="Q16" s="194">
        <v>0.89500000000000002</v>
      </c>
      <c r="R16" s="194">
        <v>1</v>
      </c>
      <c r="S16" s="194">
        <v>6</v>
      </c>
      <c r="T16" s="194">
        <v>0.81799999999999995</v>
      </c>
      <c r="U16" s="194">
        <v>0.6</v>
      </c>
      <c r="V16" s="194">
        <v>5</v>
      </c>
      <c r="W16" s="194"/>
      <c r="X16" s="194"/>
      <c r="Y16" s="194"/>
      <c r="Z16" s="194"/>
      <c r="AA16" s="194"/>
      <c r="AB16" s="194"/>
      <c r="AC16" s="194"/>
      <c r="AD16" s="194"/>
      <c r="AE16" s="194"/>
      <c r="AF16" s="194"/>
      <c r="AG16" s="194"/>
      <c r="AH16" s="194"/>
      <c r="AI16" s="194"/>
      <c r="AJ16" s="194"/>
      <c r="AK16" s="194"/>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row>
    <row r="17" spans="1:61" x14ac:dyDescent="0.3">
      <c r="A17" s="193" t="s">
        <v>386</v>
      </c>
      <c r="B17" s="194">
        <v>0.70599999999999996</v>
      </c>
      <c r="C17" s="194">
        <v>0.5</v>
      </c>
      <c r="D17" s="194">
        <v>8</v>
      </c>
      <c r="E17" s="194">
        <v>0.66700000000000004</v>
      </c>
      <c r="F17" s="194">
        <v>0.88900000000000001</v>
      </c>
      <c r="G17" s="194">
        <v>9</v>
      </c>
      <c r="H17" s="194">
        <v>0.61499999999999999</v>
      </c>
      <c r="I17" s="194">
        <v>0.57099999999999995</v>
      </c>
      <c r="J17" s="194">
        <v>7</v>
      </c>
      <c r="K17" s="194">
        <v>0.53300000000000003</v>
      </c>
      <c r="L17" s="194">
        <v>0.4</v>
      </c>
      <c r="M17" s="194">
        <v>10</v>
      </c>
      <c r="N17" s="194">
        <v>0.48499999999999999</v>
      </c>
      <c r="O17" s="194">
        <v>0.61499999999999999</v>
      </c>
      <c r="P17" s="194">
        <v>13</v>
      </c>
      <c r="Q17" s="194">
        <v>0.61799999999999999</v>
      </c>
      <c r="R17" s="194">
        <v>0.4</v>
      </c>
      <c r="S17" s="194">
        <v>10</v>
      </c>
      <c r="T17" s="194">
        <v>0.61899999999999999</v>
      </c>
      <c r="U17" s="194">
        <v>0.81799999999999995</v>
      </c>
      <c r="V17" s="194">
        <v>11</v>
      </c>
      <c r="W17" s="194"/>
      <c r="X17" s="194"/>
      <c r="Y17" s="194"/>
      <c r="Z17" s="194"/>
      <c r="AA17" s="194"/>
      <c r="AB17" s="194"/>
      <c r="AC17" s="194"/>
      <c r="AD17" s="194"/>
      <c r="AE17" s="194"/>
      <c r="AF17" s="194"/>
      <c r="AG17" s="194"/>
      <c r="AH17" s="194"/>
      <c r="AI17" s="194"/>
      <c r="AJ17" s="194"/>
      <c r="AK17" s="194"/>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row>
    <row r="18" spans="1:61" x14ac:dyDescent="0.3">
      <c r="A18" s="193" t="s">
        <v>333</v>
      </c>
      <c r="B18" s="194">
        <v>0.81</v>
      </c>
      <c r="C18" s="194">
        <v>1</v>
      </c>
      <c r="D18" s="194">
        <v>12</v>
      </c>
      <c r="E18" s="194">
        <v>0.76700000000000002</v>
      </c>
      <c r="F18" s="194">
        <v>0.55600000000000005</v>
      </c>
      <c r="G18" s="194">
        <v>9</v>
      </c>
      <c r="H18" s="194">
        <v>0.70399999999999996</v>
      </c>
      <c r="I18" s="194">
        <v>0.66700000000000004</v>
      </c>
      <c r="J18" s="194">
        <v>9</v>
      </c>
      <c r="K18" s="194">
        <v>0.72399999999999998</v>
      </c>
      <c r="L18" s="194">
        <v>0.88900000000000001</v>
      </c>
      <c r="M18" s="194">
        <v>9</v>
      </c>
      <c r="N18" s="194">
        <v>0.66700000000000004</v>
      </c>
      <c r="O18" s="194">
        <v>0.63600000000000001</v>
      </c>
      <c r="P18" s="194">
        <v>11</v>
      </c>
      <c r="Q18" s="194">
        <v>0.64700000000000002</v>
      </c>
      <c r="R18" s="194">
        <v>0.5</v>
      </c>
      <c r="S18" s="194">
        <v>10</v>
      </c>
      <c r="T18" s="194">
        <v>0.65200000000000002</v>
      </c>
      <c r="U18" s="194">
        <v>0.76900000000000002</v>
      </c>
      <c r="V18" s="194">
        <v>13</v>
      </c>
      <c r="W18" s="194"/>
      <c r="X18" s="194"/>
      <c r="Y18" s="194"/>
      <c r="Z18" s="194"/>
      <c r="AA18" s="194"/>
      <c r="AB18" s="194"/>
      <c r="AC18" s="194"/>
      <c r="AD18" s="194"/>
      <c r="AE18" s="194"/>
      <c r="AF18" s="194"/>
      <c r="AG18" s="194"/>
      <c r="AH18" s="194"/>
      <c r="AI18" s="194"/>
      <c r="AJ18" s="194"/>
      <c r="AK18" s="194"/>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row>
    <row r="19" spans="1:61" x14ac:dyDescent="0.3">
      <c r="A19" s="193" t="s">
        <v>536</v>
      </c>
      <c r="B19" s="194">
        <v>0.41699999999999998</v>
      </c>
      <c r="C19" s="194">
        <v>0.75</v>
      </c>
      <c r="D19" s="194">
        <v>4</v>
      </c>
      <c r="E19" s="194">
        <v>0.3</v>
      </c>
      <c r="F19" s="194">
        <v>0.25</v>
      </c>
      <c r="G19" s="194">
        <v>8</v>
      </c>
      <c r="H19" s="194">
        <v>0.23799999999999999</v>
      </c>
      <c r="I19" s="194">
        <v>0.125</v>
      </c>
      <c r="J19" s="194">
        <v>8</v>
      </c>
      <c r="K19" s="194">
        <v>0.25</v>
      </c>
      <c r="L19" s="194">
        <v>0.4</v>
      </c>
      <c r="M19" s="194">
        <v>5</v>
      </c>
      <c r="N19" s="194">
        <v>0.42099999999999999</v>
      </c>
      <c r="O19" s="194">
        <v>0.28599999999999998</v>
      </c>
      <c r="P19" s="194">
        <v>7</v>
      </c>
      <c r="Q19" s="194">
        <v>0.56499999999999995</v>
      </c>
      <c r="R19" s="194">
        <v>0.57099999999999995</v>
      </c>
      <c r="S19" s="194">
        <v>7</v>
      </c>
      <c r="T19" s="194">
        <v>0.68799999999999994</v>
      </c>
      <c r="U19" s="194">
        <v>0.77800000000000002</v>
      </c>
      <c r="V19" s="194">
        <v>9</v>
      </c>
      <c r="W19" s="194"/>
      <c r="X19" s="194"/>
      <c r="Y19" s="194"/>
      <c r="Z19" s="194"/>
      <c r="AA19" s="194"/>
      <c r="AB19" s="194"/>
      <c r="AC19" s="194"/>
      <c r="AD19" s="194"/>
      <c r="AE19" s="194"/>
      <c r="AF19" s="194"/>
      <c r="AG19" s="194"/>
      <c r="AH19" s="194"/>
      <c r="AI19" s="194"/>
      <c r="AJ19" s="194"/>
      <c r="AK19" s="194"/>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row>
    <row r="20" spans="1:61" x14ac:dyDescent="0.3">
      <c r="A20" s="193" t="s">
        <v>544</v>
      </c>
      <c r="B20" s="194">
        <v>0.77300000000000002</v>
      </c>
      <c r="C20" s="194">
        <v>0.75</v>
      </c>
      <c r="D20" s="194">
        <v>16</v>
      </c>
      <c r="E20" s="194">
        <v>0.82499999999999996</v>
      </c>
      <c r="F20" s="194">
        <v>0.78600000000000003</v>
      </c>
      <c r="G20" s="194">
        <v>28</v>
      </c>
      <c r="H20" s="194">
        <v>0.83599999999999997</v>
      </c>
      <c r="I20" s="194">
        <v>0.94699999999999995</v>
      </c>
      <c r="J20" s="194">
        <v>19</v>
      </c>
      <c r="K20" s="194">
        <v>0.88600000000000001</v>
      </c>
      <c r="L20" s="194">
        <v>0.8</v>
      </c>
      <c r="M20" s="194">
        <v>20</v>
      </c>
      <c r="N20" s="194">
        <v>0.88500000000000001</v>
      </c>
      <c r="O20" s="194">
        <v>0.90300000000000002</v>
      </c>
      <c r="P20" s="194">
        <v>31</v>
      </c>
      <c r="Q20" s="194">
        <v>0.89300000000000002</v>
      </c>
      <c r="R20" s="194">
        <v>0.92600000000000005</v>
      </c>
      <c r="S20" s="194">
        <v>27</v>
      </c>
      <c r="T20" s="194">
        <v>0.88700000000000001</v>
      </c>
      <c r="U20" s="194">
        <v>0.84599999999999997</v>
      </c>
      <c r="V20" s="194">
        <v>26</v>
      </c>
      <c r="W20" s="194"/>
      <c r="X20" s="194"/>
      <c r="Y20" s="194"/>
      <c r="Z20" s="194"/>
      <c r="AA20" s="194"/>
      <c r="AB20" s="194"/>
      <c r="AC20" s="194"/>
      <c r="AD20" s="194"/>
      <c r="AE20" s="194"/>
      <c r="AF20" s="194"/>
      <c r="AG20" s="194"/>
      <c r="AH20" s="194"/>
      <c r="AI20" s="194"/>
      <c r="AJ20" s="194"/>
      <c r="AK20" s="194"/>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row>
    <row r="21" spans="1:61" x14ac:dyDescent="0.3">
      <c r="A21" s="193" t="s">
        <v>480</v>
      </c>
      <c r="B21" s="194">
        <v>0.57899999999999996</v>
      </c>
      <c r="C21" s="194">
        <v>0.47799999999999998</v>
      </c>
      <c r="D21" s="194">
        <v>23</v>
      </c>
      <c r="E21" s="194">
        <v>0.61799999999999999</v>
      </c>
      <c r="F21" s="194">
        <v>0.73299999999999998</v>
      </c>
      <c r="G21" s="194">
        <v>15</v>
      </c>
      <c r="H21" s="194">
        <v>0.745</v>
      </c>
      <c r="I21" s="194">
        <v>0.70599999999999996</v>
      </c>
      <c r="J21" s="194">
        <v>17</v>
      </c>
      <c r="K21" s="194">
        <v>0.65100000000000002</v>
      </c>
      <c r="L21" s="194">
        <v>0.78900000000000003</v>
      </c>
      <c r="M21" s="194">
        <v>19</v>
      </c>
      <c r="N21" s="194">
        <v>0.65700000000000003</v>
      </c>
      <c r="O21" s="194">
        <v>0.51900000000000002</v>
      </c>
      <c r="P21" s="194">
        <v>27</v>
      </c>
      <c r="Q21" s="194">
        <v>0.56899999999999995</v>
      </c>
      <c r="R21" s="194">
        <v>0.70799999999999996</v>
      </c>
      <c r="S21" s="194">
        <v>24</v>
      </c>
      <c r="T21" s="194">
        <v>0.6</v>
      </c>
      <c r="U21" s="194">
        <v>0.47599999999999998</v>
      </c>
      <c r="V21" s="194">
        <v>21</v>
      </c>
      <c r="W21" s="194"/>
      <c r="X21" s="194"/>
      <c r="Y21" s="194"/>
      <c r="Z21" s="194"/>
      <c r="AA21" s="194"/>
      <c r="AB21" s="194"/>
      <c r="AC21" s="194"/>
      <c r="AD21" s="194"/>
      <c r="AE21" s="194"/>
      <c r="AF21" s="194"/>
      <c r="AG21" s="194"/>
      <c r="AH21" s="194"/>
      <c r="AI21" s="194"/>
      <c r="AJ21" s="194"/>
      <c r="AK21" s="194"/>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row>
    <row r="22" spans="1:61" x14ac:dyDescent="0.3">
      <c r="A22" s="193" t="s">
        <v>408</v>
      </c>
      <c r="B22" s="194">
        <v>0.81299999999999994</v>
      </c>
      <c r="C22" s="194">
        <v>0.625</v>
      </c>
      <c r="D22" s="194">
        <v>8</v>
      </c>
      <c r="E22" s="194">
        <v>0.78300000000000003</v>
      </c>
      <c r="F22" s="194">
        <v>1</v>
      </c>
      <c r="G22" s="194">
        <v>8</v>
      </c>
      <c r="H22" s="194">
        <v>0.89500000000000002</v>
      </c>
      <c r="I22" s="194">
        <v>0.71399999999999997</v>
      </c>
      <c r="J22" s="194">
        <v>7</v>
      </c>
      <c r="K22" s="194">
        <v>0.69599999999999995</v>
      </c>
      <c r="L22" s="194">
        <v>1</v>
      </c>
      <c r="M22" s="194">
        <v>4</v>
      </c>
      <c r="N22" s="194">
        <v>0.77300000000000002</v>
      </c>
      <c r="O22" s="194">
        <v>0.58299999999999996</v>
      </c>
      <c r="P22" s="194">
        <v>12</v>
      </c>
      <c r="Q22" s="194">
        <v>0.72</v>
      </c>
      <c r="R22" s="194">
        <v>1</v>
      </c>
      <c r="S22" s="194">
        <v>6</v>
      </c>
      <c r="T22" s="194">
        <v>0.84599999999999997</v>
      </c>
      <c r="U22" s="194">
        <v>0.71399999999999997</v>
      </c>
      <c r="V22" s="194">
        <v>7</v>
      </c>
      <c r="W22" s="194"/>
      <c r="X22" s="194"/>
      <c r="Y22" s="194"/>
      <c r="Z22" s="194"/>
      <c r="AA22" s="194"/>
      <c r="AB22" s="194"/>
      <c r="AC22" s="194"/>
      <c r="AD22" s="194"/>
      <c r="AE22" s="194"/>
      <c r="AF22" s="194"/>
      <c r="AG22" s="194"/>
      <c r="AH22" s="194"/>
      <c r="AI22" s="194"/>
      <c r="AJ22" s="194"/>
      <c r="AK22" s="194"/>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row>
    <row r="23" spans="1:61" x14ac:dyDescent="0.3">
      <c r="A23" s="193" t="s">
        <v>488</v>
      </c>
      <c r="B23" s="194">
        <v>0.182</v>
      </c>
      <c r="C23" s="194">
        <v>0.33300000000000002</v>
      </c>
      <c r="D23" s="194">
        <v>3</v>
      </c>
      <c r="E23" s="194">
        <v>0.188</v>
      </c>
      <c r="F23" s="194">
        <v>0.125</v>
      </c>
      <c r="G23" s="194">
        <v>8</v>
      </c>
      <c r="H23" s="194">
        <v>0.17599999999999999</v>
      </c>
      <c r="I23" s="194">
        <v>0.2</v>
      </c>
      <c r="J23" s="194">
        <v>5</v>
      </c>
      <c r="K23" s="194">
        <v>0.214</v>
      </c>
      <c r="L23" s="194">
        <v>0.25</v>
      </c>
      <c r="M23" s="194">
        <v>4</v>
      </c>
      <c r="N23" s="194">
        <v>0.28599999999999998</v>
      </c>
      <c r="O23" s="194">
        <v>0.2</v>
      </c>
      <c r="P23" s="194">
        <v>5</v>
      </c>
      <c r="Q23" s="194">
        <v>0.308</v>
      </c>
      <c r="R23" s="194">
        <v>0.4</v>
      </c>
      <c r="S23" s="194">
        <v>5</v>
      </c>
      <c r="T23" s="194">
        <v>0.375</v>
      </c>
      <c r="U23" s="194">
        <v>0.33300000000000002</v>
      </c>
      <c r="V23" s="194">
        <v>3</v>
      </c>
      <c r="W23" s="194"/>
      <c r="X23" s="194"/>
      <c r="Y23" s="194"/>
      <c r="Z23" s="194"/>
      <c r="AA23" s="194"/>
      <c r="AB23" s="194"/>
      <c r="AC23" s="194"/>
      <c r="AD23" s="194"/>
      <c r="AE23" s="194"/>
      <c r="AF23" s="194"/>
      <c r="AG23" s="194"/>
      <c r="AH23" s="194"/>
      <c r="AI23" s="194"/>
      <c r="AJ23" s="194"/>
      <c r="AK23" s="194"/>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row>
    <row r="24" spans="1:61" x14ac:dyDescent="0.3">
      <c r="A24" s="193" t="s">
        <v>284</v>
      </c>
      <c r="B24" s="194">
        <v>0.74299999999999999</v>
      </c>
      <c r="C24" s="194">
        <v>0.8</v>
      </c>
      <c r="D24" s="194">
        <v>20</v>
      </c>
      <c r="E24" s="194">
        <v>0.63800000000000001</v>
      </c>
      <c r="F24" s="194">
        <v>0.66700000000000004</v>
      </c>
      <c r="G24" s="194">
        <v>15</v>
      </c>
      <c r="H24" s="194">
        <v>0.57099999999999995</v>
      </c>
      <c r="I24" s="194">
        <v>0.33300000000000002</v>
      </c>
      <c r="J24" s="194">
        <v>12</v>
      </c>
      <c r="K24" s="194">
        <v>0.61399999999999999</v>
      </c>
      <c r="L24" s="194">
        <v>0.66700000000000004</v>
      </c>
      <c r="M24" s="194">
        <v>15</v>
      </c>
      <c r="N24" s="194">
        <v>0.72</v>
      </c>
      <c r="O24" s="194">
        <v>0.76500000000000001</v>
      </c>
      <c r="P24" s="194">
        <v>17</v>
      </c>
      <c r="Q24" s="194">
        <v>0.745</v>
      </c>
      <c r="R24" s="194">
        <v>0.72199999999999998</v>
      </c>
      <c r="S24" s="194">
        <v>18</v>
      </c>
      <c r="T24" s="194">
        <v>0.73499999999999999</v>
      </c>
      <c r="U24" s="194">
        <v>0.75</v>
      </c>
      <c r="V24" s="194">
        <v>16</v>
      </c>
      <c r="W24" s="194"/>
      <c r="X24" s="194"/>
      <c r="Y24" s="194"/>
      <c r="Z24" s="194"/>
      <c r="AA24" s="194"/>
      <c r="AB24" s="194"/>
      <c r="AC24" s="194"/>
      <c r="AD24" s="194"/>
      <c r="AE24" s="194"/>
      <c r="AF24" s="194"/>
      <c r="AG24" s="194"/>
      <c r="AH24" s="194"/>
      <c r="AI24" s="194"/>
      <c r="AJ24" s="194"/>
      <c r="AK24" s="194"/>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row>
    <row r="25" spans="1:61" x14ac:dyDescent="0.3">
      <c r="A25" s="193" t="s">
        <v>554</v>
      </c>
      <c r="B25" s="194">
        <v>0.873</v>
      </c>
      <c r="C25" s="194">
        <v>0.77800000000000002</v>
      </c>
      <c r="D25" s="194">
        <v>27</v>
      </c>
      <c r="E25" s="194">
        <v>0.89200000000000002</v>
      </c>
      <c r="F25" s="194">
        <v>0.94399999999999995</v>
      </c>
      <c r="G25" s="194">
        <v>36</v>
      </c>
      <c r="H25" s="194">
        <v>0.93200000000000005</v>
      </c>
      <c r="I25" s="194">
        <v>0.92300000000000004</v>
      </c>
      <c r="J25" s="194">
        <v>39</v>
      </c>
      <c r="K25" s="194">
        <v>0.90800000000000003</v>
      </c>
      <c r="L25" s="194">
        <v>0.92900000000000005</v>
      </c>
      <c r="M25" s="194">
        <v>42</v>
      </c>
      <c r="N25" s="194">
        <v>0.92500000000000004</v>
      </c>
      <c r="O25" s="194">
        <v>0.82399999999999995</v>
      </c>
      <c r="P25" s="194">
        <v>17</v>
      </c>
      <c r="Q25" s="194">
        <v>0.86399999999999999</v>
      </c>
      <c r="R25" s="194">
        <v>0.95799999999999996</v>
      </c>
      <c r="S25" s="194">
        <v>48</v>
      </c>
      <c r="T25" s="194">
        <v>0.872</v>
      </c>
      <c r="U25" s="194">
        <v>0.76300000000000001</v>
      </c>
      <c r="V25" s="194">
        <v>38</v>
      </c>
      <c r="W25" s="194"/>
      <c r="X25" s="194"/>
      <c r="Y25" s="194"/>
      <c r="Z25" s="194"/>
      <c r="AA25" s="194"/>
      <c r="AB25" s="194"/>
      <c r="AC25" s="194"/>
      <c r="AD25" s="194"/>
      <c r="AE25" s="194"/>
      <c r="AF25" s="194"/>
      <c r="AG25" s="194"/>
      <c r="AH25" s="194"/>
      <c r="AI25" s="194"/>
      <c r="AJ25" s="194"/>
      <c r="AK25" s="194"/>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row>
    <row r="26" spans="1:61" x14ac:dyDescent="0.3">
      <c r="A26" s="193" t="s">
        <v>369</v>
      </c>
      <c r="B26" s="194">
        <v>0.68400000000000005</v>
      </c>
      <c r="C26" s="194">
        <v>0.8</v>
      </c>
      <c r="D26" s="194">
        <v>10</v>
      </c>
      <c r="E26" s="194">
        <v>0.58599999999999997</v>
      </c>
      <c r="F26" s="194">
        <v>0.55600000000000005</v>
      </c>
      <c r="G26" s="194">
        <v>9</v>
      </c>
      <c r="H26" s="194">
        <v>0.54200000000000004</v>
      </c>
      <c r="I26" s="194">
        <v>0.4</v>
      </c>
      <c r="J26" s="194">
        <v>10</v>
      </c>
      <c r="K26" s="194">
        <v>0.60699999999999998</v>
      </c>
      <c r="L26" s="194">
        <v>0.8</v>
      </c>
      <c r="M26" s="194">
        <v>5</v>
      </c>
      <c r="N26" s="194">
        <v>0.69199999999999995</v>
      </c>
      <c r="O26" s="194">
        <v>0.69199999999999995</v>
      </c>
      <c r="P26" s="194">
        <v>13</v>
      </c>
      <c r="Q26" s="194">
        <v>0.70399999999999996</v>
      </c>
      <c r="R26" s="194">
        <v>0.625</v>
      </c>
      <c r="S26" s="194">
        <v>8</v>
      </c>
      <c r="T26" s="194">
        <v>0.71399999999999997</v>
      </c>
      <c r="U26" s="194">
        <v>0.83299999999999996</v>
      </c>
      <c r="V26" s="194">
        <v>6</v>
      </c>
      <c r="W26" s="194"/>
      <c r="X26" s="194"/>
      <c r="Y26" s="194"/>
      <c r="Z26" s="194"/>
      <c r="AA26" s="194"/>
      <c r="AB26" s="194"/>
      <c r="AC26" s="194"/>
      <c r="AD26" s="194"/>
      <c r="AE26" s="194"/>
      <c r="AF26" s="194"/>
      <c r="AG26" s="194"/>
      <c r="AH26" s="194"/>
      <c r="AI26" s="194"/>
      <c r="AJ26" s="194"/>
      <c r="AK26" s="194"/>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row>
    <row r="27" spans="1:61" x14ac:dyDescent="0.3">
      <c r="A27" s="193" t="s">
        <v>262</v>
      </c>
      <c r="B27" s="194">
        <v>0.7</v>
      </c>
      <c r="C27" s="194">
        <v>0.71399999999999997</v>
      </c>
      <c r="D27" s="194">
        <v>7</v>
      </c>
      <c r="E27" s="194">
        <v>0.60899999999999999</v>
      </c>
      <c r="F27" s="194">
        <v>0.69199999999999995</v>
      </c>
      <c r="G27" s="194">
        <v>13</v>
      </c>
      <c r="H27" s="194">
        <v>0.64</v>
      </c>
      <c r="I27" s="194">
        <v>0</v>
      </c>
      <c r="J27" s="194">
        <v>3</v>
      </c>
      <c r="K27" s="194">
        <v>0.76200000000000001</v>
      </c>
      <c r="L27" s="194">
        <v>0.77800000000000002</v>
      </c>
      <c r="M27" s="194">
        <v>9</v>
      </c>
      <c r="N27" s="194">
        <v>0.78600000000000003</v>
      </c>
      <c r="O27" s="194">
        <v>1</v>
      </c>
      <c r="P27" s="194">
        <v>9</v>
      </c>
      <c r="Q27" s="194">
        <v>0.74199999999999999</v>
      </c>
      <c r="R27" s="194">
        <v>0.6</v>
      </c>
      <c r="S27" s="194">
        <v>10</v>
      </c>
      <c r="T27" s="194">
        <v>0.63600000000000001</v>
      </c>
      <c r="U27" s="194">
        <v>0.66700000000000004</v>
      </c>
      <c r="V27" s="194">
        <v>12</v>
      </c>
      <c r="W27" s="194"/>
      <c r="X27" s="194"/>
      <c r="Y27" s="194"/>
      <c r="Z27" s="194"/>
      <c r="AA27" s="194"/>
      <c r="AB27" s="194"/>
      <c r="AC27" s="194"/>
      <c r="AD27" s="194"/>
      <c r="AE27" s="194"/>
      <c r="AF27" s="194"/>
      <c r="AG27" s="194"/>
      <c r="AH27" s="194"/>
      <c r="AI27" s="194"/>
      <c r="AJ27" s="194"/>
      <c r="AK27" s="194"/>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row>
    <row r="28" spans="1:61" x14ac:dyDescent="0.3">
      <c r="A28" s="193" t="s">
        <v>500</v>
      </c>
      <c r="B28" s="194">
        <v>0.58299999999999996</v>
      </c>
      <c r="C28" s="194">
        <v>0.6</v>
      </c>
      <c r="D28" s="194">
        <v>5</v>
      </c>
      <c r="E28" s="194">
        <v>0.52900000000000003</v>
      </c>
      <c r="F28" s="194">
        <v>0.57099999999999995</v>
      </c>
      <c r="G28" s="194">
        <v>7</v>
      </c>
      <c r="H28" s="194">
        <v>0.57099999999999995</v>
      </c>
      <c r="I28" s="194">
        <v>0.4</v>
      </c>
      <c r="J28" s="194">
        <v>5</v>
      </c>
      <c r="K28" s="194">
        <v>0.55600000000000005</v>
      </c>
      <c r="L28" s="194">
        <v>1</v>
      </c>
      <c r="M28" s="194">
        <v>2</v>
      </c>
      <c r="N28" s="194">
        <v>0.5</v>
      </c>
      <c r="O28" s="194">
        <v>0.5</v>
      </c>
      <c r="P28" s="194">
        <v>2</v>
      </c>
      <c r="Q28" s="194">
        <v>0.4</v>
      </c>
      <c r="R28" s="194">
        <v>0.25</v>
      </c>
      <c r="S28" s="194">
        <v>4</v>
      </c>
      <c r="T28" s="194">
        <v>0.375</v>
      </c>
      <c r="U28" s="194">
        <v>0.5</v>
      </c>
      <c r="V28" s="194">
        <v>4</v>
      </c>
      <c r="W28" s="194"/>
      <c r="X28" s="194"/>
      <c r="Y28" s="194"/>
      <c r="Z28" s="194"/>
      <c r="AA28" s="194"/>
      <c r="AB28" s="194"/>
      <c r="AC28" s="194"/>
      <c r="AD28" s="194"/>
      <c r="AE28" s="194"/>
      <c r="AF28" s="194"/>
      <c r="AG28" s="194"/>
      <c r="AH28" s="194"/>
      <c r="AI28" s="194"/>
      <c r="AJ28" s="194"/>
      <c r="AK28" s="194"/>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row>
    <row r="29" spans="1:61" x14ac:dyDescent="0.3">
      <c r="A29" s="193" t="s">
        <v>454</v>
      </c>
      <c r="B29" s="194">
        <v>0.52300000000000002</v>
      </c>
      <c r="C29" s="194">
        <v>0.68799999999999994</v>
      </c>
      <c r="D29" s="194">
        <v>16</v>
      </c>
      <c r="E29" s="194">
        <v>0.54300000000000004</v>
      </c>
      <c r="F29" s="194">
        <v>0.42899999999999999</v>
      </c>
      <c r="G29" s="194">
        <v>28</v>
      </c>
      <c r="H29" s="194">
        <v>0.51900000000000002</v>
      </c>
      <c r="I29" s="194">
        <v>0.57699999999999996</v>
      </c>
      <c r="J29" s="194">
        <v>26</v>
      </c>
      <c r="K29" s="194">
        <v>0.53700000000000003</v>
      </c>
      <c r="L29" s="194">
        <v>0.56499999999999995</v>
      </c>
      <c r="M29" s="194">
        <v>23</v>
      </c>
      <c r="N29" s="194">
        <v>0.60699999999999998</v>
      </c>
      <c r="O29" s="194">
        <v>0.44400000000000001</v>
      </c>
      <c r="P29" s="194">
        <v>18</v>
      </c>
      <c r="Q29" s="194">
        <v>0.60699999999999998</v>
      </c>
      <c r="R29" s="194">
        <v>0.8</v>
      </c>
      <c r="S29" s="194">
        <v>20</v>
      </c>
      <c r="T29" s="194">
        <v>0.67400000000000004</v>
      </c>
      <c r="U29" s="194">
        <v>0.56499999999999995</v>
      </c>
      <c r="V29" s="194">
        <v>23</v>
      </c>
      <c r="W29" s="194"/>
      <c r="X29" s="194"/>
      <c r="Y29" s="194"/>
      <c r="Z29" s="194"/>
      <c r="AA29" s="194"/>
      <c r="AB29" s="194"/>
      <c r="AC29" s="194"/>
      <c r="AD29" s="194"/>
      <c r="AE29" s="194"/>
      <c r="AF29" s="194"/>
      <c r="AG29" s="194"/>
      <c r="AH29" s="194"/>
      <c r="AI29" s="194"/>
      <c r="AJ29" s="194"/>
      <c r="AK29" s="194"/>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row>
    <row r="30" spans="1:61" x14ac:dyDescent="0.3">
      <c r="A30" s="193" t="s">
        <v>412</v>
      </c>
      <c r="B30" s="194">
        <v>0.26700000000000002</v>
      </c>
      <c r="C30" s="194">
        <v>0.2</v>
      </c>
      <c r="D30" s="194">
        <v>10</v>
      </c>
      <c r="E30" s="194">
        <v>0.26700000000000002</v>
      </c>
      <c r="F30" s="194">
        <v>0.4</v>
      </c>
      <c r="G30" s="194">
        <v>5</v>
      </c>
      <c r="H30" s="194">
        <v>0.28599999999999998</v>
      </c>
      <c r="I30" s="194"/>
      <c r="J30" s="194"/>
      <c r="K30" s="194">
        <v>0.222</v>
      </c>
      <c r="L30" s="194">
        <v>0</v>
      </c>
      <c r="M30" s="194">
        <v>2</v>
      </c>
      <c r="N30" s="194">
        <v>0.2</v>
      </c>
      <c r="O30" s="194">
        <v>0.28599999999999998</v>
      </c>
      <c r="P30" s="194">
        <v>7</v>
      </c>
      <c r="Q30" s="194">
        <v>0.27300000000000002</v>
      </c>
      <c r="R30" s="194">
        <v>0</v>
      </c>
      <c r="S30" s="194">
        <v>1</v>
      </c>
      <c r="T30" s="194">
        <v>0.25</v>
      </c>
      <c r="U30" s="194">
        <v>0.33300000000000002</v>
      </c>
      <c r="V30" s="194">
        <v>3</v>
      </c>
      <c r="W30" s="194"/>
      <c r="X30" s="194"/>
      <c r="Y30" s="194"/>
      <c r="Z30" s="194"/>
      <c r="AA30" s="194"/>
      <c r="AB30" s="194"/>
      <c r="AC30" s="194"/>
      <c r="AD30" s="194"/>
      <c r="AE30" s="194"/>
      <c r="AF30" s="194"/>
      <c r="AG30" s="194"/>
      <c r="AH30" s="194"/>
      <c r="AI30" s="194"/>
      <c r="AJ30" s="194"/>
      <c r="AK30" s="194"/>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row>
    <row r="31" spans="1:61" x14ac:dyDescent="0.3">
      <c r="A31" s="193" t="s">
        <v>346</v>
      </c>
      <c r="B31" s="194">
        <v>0.71599999999999997</v>
      </c>
      <c r="C31" s="194">
        <v>0.68400000000000005</v>
      </c>
      <c r="D31" s="194">
        <v>38</v>
      </c>
      <c r="E31" s="194">
        <v>0.56599999999999995</v>
      </c>
      <c r="F31" s="194">
        <v>0.75</v>
      </c>
      <c r="G31" s="194">
        <v>36</v>
      </c>
      <c r="H31" s="194">
        <v>0.54300000000000004</v>
      </c>
      <c r="I31" s="194">
        <v>0.219</v>
      </c>
      <c r="J31" s="194">
        <v>32</v>
      </c>
      <c r="K31" s="194">
        <v>0.51300000000000001</v>
      </c>
      <c r="L31" s="194">
        <v>0.622</v>
      </c>
      <c r="M31" s="194">
        <v>37</v>
      </c>
      <c r="N31" s="194">
        <v>0.61499999999999999</v>
      </c>
      <c r="O31" s="194">
        <v>0.63600000000000001</v>
      </c>
      <c r="P31" s="194">
        <v>44</v>
      </c>
      <c r="Q31" s="194">
        <v>0.63600000000000001</v>
      </c>
      <c r="R31" s="194">
        <v>0.58499999999999996</v>
      </c>
      <c r="S31" s="194">
        <v>41</v>
      </c>
      <c r="T31" s="194">
        <v>0.63500000000000001</v>
      </c>
      <c r="U31" s="194">
        <v>0.69699999999999995</v>
      </c>
      <c r="V31" s="194">
        <v>33</v>
      </c>
      <c r="W31" s="194"/>
      <c r="X31" s="194"/>
      <c r="Y31" s="194"/>
      <c r="Z31" s="194"/>
      <c r="AA31" s="194"/>
      <c r="AB31" s="194"/>
      <c r="AC31" s="194"/>
      <c r="AD31" s="194"/>
      <c r="AE31" s="194"/>
      <c r="AF31" s="194"/>
      <c r="AG31" s="194"/>
      <c r="AH31" s="194"/>
      <c r="AI31" s="194"/>
      <c r="AJ31" s="194"/>
      <c r="AK31" s="194"/>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row>
    <row r="32" spans="1:61" x14ac:dyDescent="0.3">
      <c r="A32" s="193" t="s">
        <v>352</v>
      </c>
      <c r="B32" s="194">
        <v>0.54400000000000004</v>
      </c>
      <c r="C32" s="194">
        <v>0.57099999999999995</v>
      </c>
      <c r="D32" s="194">
        <v>56</v>
      </c>
      <c r="E32" s="194">
        <v>0.54300000000000004</v>
      </c>
      <c r="F32" s="194">
        <v>0.51700000000000002</v>
      </c>
      <c r="G32" s="194">
        <v>58</v>
      </c>
      <c r="H32" s="194">
        <v>0.53100000000000003</v>
      </c>
      <c r="I32" s="194">
        <v>0.54</v>
      </c>
      <c r="J32" s="194">
        <v>50</v>
      </c>
      <c r="K32" s="194">
        <v>0.57299999999999995</v>
      </c>
      <c r="L32" s="194">
        <v>0.53800000000000003</v>
      </c>
      <c r="M32" s="194">
        <v>52</v>
      </c>
      <c r="N32" s="194">
        <v>0.56799999999999995</v>
      </c>
      <c r="O32" s="194">
        <v>0.64600000000000002</v>
      </c>
      <c r="P32" s="194">
        <v>48</v>
      </c>
      <c r="Q32" s="194">
        <v>0.58899999999999997</v>
      </c>
      <c r="R32" s="194">
        <v>0.51300000000000001</v>
      </c>
      <c r="S32" s="194">
        <v>39</v>
      </c>
      <c r="T32" s="194">
        <v>0.55300000000000005</v>
      </c>
      <c r="U32" s="194">
        <v>0.59499999999999997</v>
      </c>
      <c r="V32" s="194">
        <v>37</v>
      </c>
      <c r="W32" s="194"/>
      <c r="X32" s="194"/>
      <c r="Y32" s="194"/>
      <c r="Z32" s="194"/>
      <c r="AA32" s="194"/>
      <c r="AB32" s="194"/>
      <c r="AC32" s="194"/>
      <c r="AD32" s="194"/>
      <c r="AE32" s="194"/>
      <c r="AF32" s="194"/>
      <c r="AG32" s="194"/>
      <c r="AH32" s="194"/>
      <c r="AI32" s="194"/>
      <c r="AJ32" s="194"/>
      <c r="AK32" s="194"/>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row>
    <row r="33" spans="1:61" x14ac:dyDescent="0.3">
      <c r="A33" s="193" t="s">
        <v>446</v>
      </c>
      <c r="B33" s="194">
        <v>0.66700000000000004</v>
      </c>
      <c r="C33" s="194">
        <v>0.72399999999999998</v>
      </c>
      <c r="D33" s="194">
        <v>29</v>
      </c>
      <c r="E33" s="194">
        <v>0.58699999999999997</v>
      </c>
      <c r="F33" s="194">
        <v>0.6</v>
      </c>
      <c r="G33" s="194">
        <v>25</v>
      </c>
      <c r="H33" s="194">
        <v>0.49199999999999999</v>
      </c>
      <c r="I33" s="194">
        <v>0.38100000000000001</v>
      </c>
      <c r="J33" s="194">
        <v>21</v>
      </c>
      <c r="K33" s="194">
        <v>0.5</v>
      </c>
      <c r="L33" s="194">
        <v>0.47399999999999998</v>
      </c>
      <c r="M33" s="194">
        <v>19</v>
      </c>
      <c r="N33" s="194">
        <v>0.55100000000000005</v>
      </c>
      <c r="O33" s="194">
        <v>0.61499999999999999</v>
      </c>
      <c r="P33" s="194">
        <v>26</v>
      </c>
      <c r="Q33" s="194">
        <v>0.67500000000000004</v>
      </c>
      <c r="R33" s="194">
        <v>0.54200000000000004</v>
      </c>
      <c r="S33" s="194">
        <v>24</v>
      </c>
      <c r="T33" s="194">
        <v>0.70599999999999996</v>
      </c>
      <c r="U33" s="194">
        <v>0.85199999999999998</v>
      </c>
      <c r="V33" s="194">
        <v>27</v>
      </c>
      <c r="W33" s="194"/>
      <c r="X33" s="194"/>
      <c r="Y33" s="194"/>
      <c r="Z33" s="194"/>
      <c r="AA33" s="194"/>
      <c r="AB33" s="194"/>
      <c r="AC33" s="194"/>
      <c r="AD33" s="194"/>
      <c r="AE33" s="194"/>
      <c r="AF33" s="194"/>
      <c r="AG33" s="194"/>
      <c r="AH33" s="194"/>
      <c r="AI33" s="194"/>
      <c r="AJ33" s="194"/>
      <c r="AK33" s="194"/>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row>
    <row r="34" spans="1:61" x14ac:dyDescent="0.3">
      <c r="A34" s="193" t="s">
        <v>396</v>
      </c>
      <c r="B34" s="194">
        <v>0.54200000000000004</v>
      </c>
      <c r="C34" s="194">
        <v>0.57099999999999995</v>
      </c>
      <c r="D34" s="194">
        <v>28</v>
      </c>
      <c r="E34" s="194">
        <v>0.56299999999999994</v>
      </c>
      <c r="F34" s="194">
        <v>0.5</v>
      </c>
      <c r="G34" s="194">
        <v>20</v>
      </c>
      <c r="H34" s="194">
        <v>0.61899999999999999</v>
      </c>
      <c r="I34" s="194">
        <v>0.59</v>
      </c>
      <c r="J34" s="194">
        <v>39</v>
      </c>
      <c r="K34" s="194">
        <v>0.65600000000000003</v>
      </c>
      <c r="L34" s="194">
        <v>0.76</v>
      </c>
      <c r="M34" s="194">
        <v>25</v>
      </c>
      <c r="N34" s="194">
        <v>0.73</v>
      </c>
      <c r="O34" s="194">
        <v>0.65400000000000003</v>
      </c>
      <c r="P34" s="194">
        <v>26</v>
      </c>
      <c r="Q34" s="194">
        <v>0.68</v>
      </c>
      <c r="R34" s="194">
        <v>0.78300000000000003</v>
      </c>
      <c r="S34" s="194">
        <v>23</v>
      </c>
      <c r="T34" s="194">
        <v>0.69399999999999995</v>
      </c>
      <c r="U34" s="194">
        <v>0.61499999999999999</v>
      </c>
      <c r="V34" s="194">
        <v>26</v>
      </c>
      <c r="W34" s="194"/>
      <c r="X34" s="194"/>
      <c r="Y34" s="194"/>
      <c r="Z34" s="194"/>
      <c r="AA34" s="194"/>
      <c r="AB34" s="194"/>
      <c r="AC34" s="194"/>
      <c r="AD34" s="194"/>
      <c r="AE34" s="194"/>
      <c r="AF34" s="194"/>
      <c r="AG34" s="194"/>
      <c r="AH34" s="194"/>
      <c r="AI34" s="194"/>
      <c r="AJ34" s="194"/>
      <c r="AK34" s="194"/>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row>
    <row r="35" spans="1:61" x14ac:dyDescent="0.3">
      <c r="A35" s="193" t="s">
        <v>272</v>
      </c>
      <c r="B35" s="194">
        <v>0.16700000000000001</v>
      </c>
      <c r="C35" s="194">
        <v>0.14299999999999999</v>
      </c>
      <c r="D35" s="194">
        <v>7</v>
      </c>
      <c r="E35" s="194">
        <v>0.13500000000000001</v>
      </c>
      <c r="F35" s="194">
        <v>0.182</v>
      </c>
      <c r="G35" s="194">
        <v>11</v>
      </c>
      <c r="H35" s="194">
        <v>0.20499999999999999</v>
      </c>
      <c r="I35" s="194">
        <v>0.105</v>
      </c>
      <c r="J35" s="194">
        <v>19</v>
      </c>
      <c r="K35" s="194">
        <v>0.15</v>
      </c>
      <c r="L35" s="194">
        <v>0.44400000000000001</v>
      </c>
      <c r="M35" s="194">
        <v>9</v>
      </c>
      <c r="N35" s="194">
        <v>0.31</v>
      </c>
      <c r="O35" s="194">
        <v>0</v>
      </c>
      <c r="P35" s="194">
        <v>12</v>
      </c>
      <c r="Q35" s="194">
        <v>0.28599999999999998</v>
      </c>
      <c r="R35" s="194">
        <v>0.42899999999999999</v>
      </c>
      <c r="S35" s="194">
        <v>21</v>
      </c>
      <c r="T35" s="194">
        <v>0.36399999999999999</v>
      </c>
      <c r="U35" s="194">
        <v>0.30399999999999999</v>
      </c>
      <c r="V35" s="194">
        <v>23</v>
      </c>
      <c r="W35" s="194"/>
      <c r="X35" s="194"/>
      <c r="Y35" s="194"/>
      <c r="Z35" s="194"/>
      <c r="AA35" s="194"/>
      <c r="AB35" s="194"/>
      <c r="AC35" s="194"/>
      <c r="AD35" s="194"/>
      <c r="AE35" s="194"/>
      <c r="AF35" s="194"/>
      <c r="AG35" s="194"/>
      <c r="AH35" s="194"/>
      <c r="AI35" s="194"/>
      <c r="AJ35" s="194"/>
      <c r="AK35" s="194"/>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row>
    <row r="36" spans="1:61" x14ac:dyDescent="0.3">
      <c r="A36" s="193" t="s">
        <v>276</v>
      </c>
      <c r="B36" s="194">
        <v>0.88</v>
      </c>
      <c r="C36" s="194">
        <v>0.93300000000000005</v>
      </c>
      <c r="D36" s="194">
        <v>15</v>
      </c>
      <c r="E36" s="194">
        <v>0.90600000000000003</v>
      </c>
      <c r="F36" s="194">
        <v>0.8</v>
      </c>
      <c r="G36" s="194">
        <v>10</v>
      </c>
      <c r="H36" s="194">
        <v>0.71399999999999997</v>
      </c>
      <c r="I36" s="194">
        <v>1</v>
      </c>
      <c r="J36" s="194">
        <v>7</v>
      </c>
      <c r="K36" s="194">
        <v>0.67900000000000005</v>
      </c>
      <c r="L36" s="194">
        <v>0.45500000000000002</v>
      </c>
      <c r="M36" s="194">
        <v>11</v>
      </c>
      <c r="N36" s="194">
        <v>0.56299999999999994</v>
      </c>
      <c r="O36" s="194">
        <v>0.7</v>
      </c>
      <c r="P36" s="194">
        <v>10</v>
      </c>
      <c r="Q36" s="194">
        <v>0.66700000000000004</v>
      </c>
      <c r="R36" s="194">
        <v>0.54500000000000004</v>
      </c>
      <c r="S36" s="194">
        <v>11</v>
      </c>
      <c r="T36" s="194">
        <v>0.65</v>
      </c>
      <c r="U36" s="194">
        <v>0.77800000000000002</v>
      </c>
      <c r="V36" s="194">
        <v>9</v>
      </c>
      <c r="W36" s="194"/>
      <c r="X36" s="194"/>
      <c r="Y36" s="194"/>
      <c r="Z36" s="194"/>
      <c r="AA36" s="194"/>
      <c r="AB36" s="194"/>
      <c r="AC36" s="194"/>
      <c r="AD36" s="194"/>
      <c r="AE36" s="194"/>
      <c r="AF36" s="194"/>
      <c r="AG36" s="194"/>
      <c r="AH36" s="194"/>
      <c r="AI36" s="194"/>
      <c r="AJ36" s="194"/>
      <c r="AK36" s="194"/>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row>
    <row r="37" spans="1:61" x14ac:dyDescent="0.3">
      <c r="A37" s="193" t="s">
        <v>502</v>
      </c>
      <c r="B37" s="194">
        <v>0.51500000000000001</v>
      </c>
      <c r="C37" s="194">
        <v>0.61099999999999999</v>
      </c>
      <c r="D37" s="194">
        <v>18</v>
      </c>
      <c r="E37" s="194">
        <v>0.377</v>
      </c>
      <c r="F37" s="194">
        <v>0.4</v>
      </c>
      <c r="G37" s="194">
        <v>15</v>
      </c>
      <c r="H37" s="194">
        <v>0.29299999999999998</v>
      </c>
      <c r="I37" s="194">
        <v>0.15</v>
      </c>
      <c r="J37" s="194">
        <v>20</v>
      </c>
      <c r="K37" s="194">
        <v>0.25</v>
      </c>
      <c r="L37" s="194">
        <v>0.5</v>
      </c>
      <c r="M37" s="194">
        <v>6</v>
      </c>
      <c r="N37" s="194">
        <v>0.42899999999999999</v>
      </c>
      <c r="O37" s="194">
        <v>0.33300000000000002</v>
      </c>
      <c r="P37" s="194">
        <v>6</v>
      </c>
      <c r="Q37" s="194">
        <v>0.37</v>
      </c>
      <c r="R37" s="194">
        <v>0.44400000000000001</v>
      </c>
      <c r="S37" s="194">
        <v>9</v>
      </c>
      <c r="T37" s="194">
        <v>0.38100000000000001</v>
      </c>
      <c r="U37" s="194">
        <v>0.33300000000000002</v>
      </c>
      <c r="V37" s="194">
        <v>12</v>
      </c>
      <c r="W37" s="194"/>
      <c r="X37" s="194"/>
      <c r="Y37" s="194"/>
      <c r="Z37" s="194"/>
      <c r="AA37" s="194"/>
      <c r="AB37" s="194"/>
      <c r="AC37" s="194"/>
      <c r="AD37" s="194"/>
      <c r="AE37" s="194"/>
      <c r="AF37" s="194"/>
      <c r="AG37" s="194"/>
      <c r="AH37" s="194"/>
      <c r="AI37" s="194"/>
      <c r="AJ37" s="194"/>
      <c r="AK37" s="194"/>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row>
    <row r="38" spans="1:61" x14ac:dyDescent="0.3">
      <c r="A38" s="193" t="s">
        <v>314</v>
      </c>
      <c r="B38" s="194">
        <v>1</v>
      </c>
      <c r="C38" s="194">
        <v>1</v>
      </c>
      <c r="D38" s="194">
        <v>9</v>
      </c>
      <c r="E38" s="194">
        <v>0.94099999999999995</v>
      </c>
      <c r="F38" s="194">
        <v>1</v>
      </c>
      <c r="G38" s="194">
        <v>7</v>
      </c>
      <c r="H38" s="194">
        <v>0.86499999999999999</v>
      </c>
      <c r="I38" s="194">
        <v>0.88900000000000001</v>
      </c>
      <c r="J38" s="194">
        <v>18</v>
      </c>
      <c r="K38" s="194">
        <v>0.82499999999999996</v>
      </c>
      <c r="L38" s="194">
        <v>0.75</v>
      </c>
      <c r="M38" s="194">
        <v>12</v>
      </c>
      <c r="N38" s="194">
        <v>0.74199999999999999</v>
      </c>
      <c r="O38" s="194">
        <v>0.8</v>
      </c>
      <c r="P38" s="194">
        <v>10</v>
      </c>
      <c r="Q38" s="194">
        <v>0.78600000000000003</v>
      </c>
      <c r="R38" s="194">
        <v>0.66700000000000004</v>
      </c>
      <c r="S38" s="194">
        <v>9</v>
      </c>
      <c r="T38" s="194">
        <v>0.77800000000000002</v>
      </c>
      <c r="U38" s="194">
        <v>0.88900000000000001</v>
      </c>
      <c r="V38" s="194">
        <v>9</v>
      </c>
      <c r="W38" s="194"/>
      <c r="X38" s="194"/>
      <c r="Y38" s="194"/>
      <c r="Z38" s="194"/>
      <c r="AA38" s="194"/>
      <c r="AB38" s="194"/>
      <c r="AC38" s="194"/>
      <c r="AD38" s="194"/>
      <c r="AE38" s="194"/>
      <c r="AF38" s="194"/>
      <c r="AG38" s="194"/>
      <c r="AH38" s="194"/>
      <c r="AI38" s="194"/>
      <c r="AJ38" s="194"/>
      <c r="AK38" s="194"/>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row>
    <row r="39" spans="1:61" x14ac:dyDescent="0.3">
      <c r="A39" s="193" t="s">
        <v>425</v>
      </c>
      <c r="B39" s="194">
        <v>0.69199999999999995</v>
      </c>
      <c r="C39" s="194">
        <v>0.61899999999999999</v>
      </c>
      <c r="D39" s="194">
        <v>21</v>
      </c>
      <c r="E39" s="194">
        <v>0.68100000000000005</v>
      </c>
      <c r="F39" s="194">
        <v>0.77800000000000002</v>
      </c>
      <c r="G39" s="194">
        <v>18</v>
      </c>
      <c r="H39" s="194">
        <v>0.628</v>
      </c>
      <c r="I39" s="194">
        <v>0.625</v>
      </c>
      <c r="J39" s="194">
        <v>8</v>
      </c>
      <c r="K39" s="194">
        <v>0.63200000000000001</v>
      </c>
      <c r="L39" s="194">
        <v>0.47099999999999997</v>
      </c>
      <c r="M39" s="194">
        <v>17</v>
      </c>
      <c r="N39" s="194">
        <v>0.64</v>
      </c>
      <c r="O39" s="194">
        <v>0.84599999999999997</v>
      </c>
      <c r="P39" s="194">
        <v>13</v>
      </c>
      <c r="Q39" s="194">
        <v>0.70699999999999996</v>
      </c>
      <c r="R39" s="194">
        <v>0.65</v>
      </c>
      <c r="S39" s="194">
        <v>20</v>
      </c>
      <c r="T39" s="194">
        <v>0.66700000000000004</v>
      </c>
      <c r="U39" s="194">
        <v>0.68</v>
      </c>
      <c r="V39" s="194">
        <v>25</v>
      </c>
      <c r="W39" s="194"/>
      <c r="X39" s="194"/>
      <c r="Y39" s="194"/>
      <c r="Z39" s="194"/>
      <c r="AA39" s="194"/>
      <c r="AB39" s="194"/>
      <c r="AC39" s="194"/>
      <c r="AD39" s="194"/>
      <c r="AE39" s="194"/>
      <c r="AF39" s="194"/>
      <c r="AG39" s="194"/>
      <c r="AH39" s="194"/>
      <c r="AI39" s="194"/>
      <c r="AJ39" s="194"/>
      <c r="AK39" s="194"/>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row>
    <row r="40" spans="1:61" x14ac:dyDescent="0.3">
      <c r="A40" s="193" t="s">
        <v>380</v>
      </c>
      <c r="B40" s="194">
        <v>0.38500000000000001</v>
      </c>
      <c r="C40" s="194">
        <v>0.66700000000000004</v>
      </c>
      <c r="D40" s="194">
        <v>6</v>
      </c>
      <c r="E40" s="194">
        <v>0.47099999999999997</v>
      </c>
      <c r="F40" s="194">
        <v>0.14299999999999999</v>
      </c>
      <c r="G40" s="194">
        <v>7</v>
      </c>
      <c r="H40" s="194">
        <v>0.308</v>
      </c>
      <c r="I40" s="194">
        <v>0.75</v>
      </c>
      <c r="J40" s="194">
        <v>4</v>
      </c>
      <c r="K40" s="194">
        <v>0.44400000000000001</v>
      </c>
      <c r="L40" s="194">
        <v>0</v>
      </c>
      <c r="M40" s="194">
        <v>2</v>
      </c>
      <c r="N40" s="194">
        <v>0.2</v>
      </c>
      <c r="O40" s="194">
        <v>0.33300000000000002</v>
      </c>
      <c r="P40" s="194">
        <v>3</v>
      </c>
      <c r="Q40" s="194">
        <v>0.33300000000000002</v>
      </c>
      <c r="R40" s="194"/>
      <c r="S40" s="194"/>
      <c r="T40" s="194">
        <v>0.33300000000000002</v>
      </c>
      <c r="U40" s="194">
        <v>0.33300000000000002</v>
      </c>
      <c r="V40" s="194">
        <v>9</v>
      </c>
      <c r="W40" s="194"/>
      <c r="X40" s="194"/>
      <c r="Y40" s="194"/>
      <c r="Z40" s="194"/>
      <c r="AA40" s="194"/>
      <c r="AB40" s="194"/>
      <c r="AC40" s="194"/>
      <c r="AD40" s="194"/>
      <c r="AE40" s="194"/>
      <c r="AF40" s="194"/>
      <c r="AG40" s="194"/>
      <c r="AH40" s="194"/>
      <c r="AI40" s="194"/>
      <c r="AJ40" s="194"/>
      <c r="AK40" s="194"/>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row>
    <row r="41" spans="1:61" x14ac:dyDescent="0.3">
      <c r="A41" s="193" t="s">
        <v>542</v>
      </c>
      <c r="B41" s="194">
        <v>0.52900000000000003</v>
      </c>
      <c r="C41" s="194">
        <v>0.5</v>
      </c>
      <c r="D41" s="194">
        <v>12</v>
      </c>
      <c r="E41" s="194">
        <v>0.54500000000000004</v>
      </c>
      <c r="F41" s="194">
        <v>0.6</v>
      </c>
      <c r="G41" s="194">
        <v>5</v>
      </c>
      <c r="H41" s="194">
        <v>0.64700000000000002</v>
      </c>
      <c r="I41" s="194">
        <v>0.6</v>
      </c>
      <c r="J41" s="194">
        <v>5</v>
      </c>
      <c r="K41" s="194">
        <v>0.52900000000000003</v>
      </c>
      <c r="L41" s="194">
        <v>0.71399999999999997</v>
      </c>
      <c r="M41" s="194">
        <v>7</v>
      </c>
      <c r="N41" s="194">
        <v>0.52200000000000002</v>
      </c>
      <c r="O41" s="194">
        <v>0.2</v>
      </c>
      <c r="P41" s="194">
        <v>5</v>
      </c>
      <c r="Q41" s="194">
        <v>0.57699999999999996</v>
      </c>
      <c r="R41" s="194">
        <v>0.54500000000000004</v>
      </c>
      <c r="S41" s="194">
        <v>11</v>
      </c>
      <c r="T41" s="194">
        <v>0.66700000000000004</v>
      </c>
      <c r="U41" s="194">
        <v>0.8</v>
      </c>
      <c r="V41" s="194">
        <v>10</v>
      </c>
      <c r="W41" s="194"/>
      <c r="X41" s="194"/>
      <c r="Y41" s="194"/>
      <c r="Z41" s="194"/>
      <c r="AA41" s="194"/>
      <c r="AB41" s="194"/>
      <c r="AC41" s="194"/>
      <c r="AD41" s="194"/>
      <c r="AE41" s="194"/>
      <c r="AF41" s="194"/>
      <c r="AG41" s="194"/>
      <c r="AH41" s="194"/>
      <c r="AI41" s="194"/>
      <c r="AJ41" s="194"/>
      <c r="AK41" s="194"/>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row>
    <row r="42" spans="1:61" x14ac:dyDescent="0.3">
      <c r="A42" s="193" t="s">
        <v>306</v>
      </c>
      <c r="B42" s="194">
        <v>0.76400000000000001</v>
      </c>
      <c r="C42" s="194">
        <v>0.82899999999999996</v>
      </c>
      <c r="D42" s="194">
        <v>41</v>
      </c>
      <c r="E42" s="194">
        <v>0.70799999999999996</v>
      </c>
      <c r="F42" s="194">
        <v>0.67700000000000005</v>
      </c>
      <c r="G42" s="194">
        <v>31</v>
      </c>
      <c r="H42" s="194">
        <v>0.68899999999999995</v>
      </c>
      <c r="I42" s="194">
        <v>0.58799999999999997</v>
      </c>
      <c r="J42" s="194">
        <v>34</v>
      </c>
      <c r="K42" s="194">
        <v>0.753</v>
      </c>
      <c r="L42" s="194">
        <v>0.84</v>
      </c>
      <c r="M42" s="194">
        <v>25</v>
      </c>
      <c r="N42" s="194">
        <v>0.81299999999999994</v>
      </c>
      <c r="O42" s="194">
        <v>0.90900000000000003</v>
      </c>
      <c r="P42" s="194">
        <v>22</v>
      </c>
      <c r="Q42" s="194">
        <v>0.79200000000000004</v>
      </c>
      <c r="R42" s="194">
        <v>0.72699999999999998</v>
      </c>
      <c r="S42" s="194">
        <v>33</v>
      </c>
      <c r="T42" s="194">
        <v>0.75700000000000001</v>
      </c>
      <c r="U42" s="194">
        <v>0.78</v>
      </c>
      <c r="V42" s="194">
        <v>41</v>
      </c>
      <c r="W42" s="194"/>
      <c r="X42" s="194"/>
      <c r="Y42" s="194"/>
      <c r="Z42" s="194"/>
      <c r="AA42" s="194"/>
      <c r="AB42" s="194"/>
      <c r="AC42" s="194"/>
      <c r="AD42" s="194"/>
      <c r="AE42" s="194"/>
      <c r="AF42" s="194"/>
      <c r="AG42" s="194"/>
      <c r="AH42" s="194"/>
      <c r="AI42" s="194"/>
      <c r="AJ42" s="194"/>
      <c r="AK42" s="194"/>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row>
    <row r="43" spans="1:61" x14ac:dyDescent="0.3">
      <c r="A43" s="193" t="s">
        <v>468</v>
      </c>
      <c r="B43" s="194">
        <v>0.72899999999999998</v>
      </c>
      <c r="C43" s="194">
        <v>0.82799999999999996</v>
      </c>
      <c r="D43" s="194">
        <v>29</v>
      </c>
      <c r="E43" s="194">
        <v>0.70599999999999996</v>
      </c>
      <c r="F43" s="194">
        <v>0.63300000000000001</v>
      </c>
      <c r="G43" s="194">
        <v>30</v>
      </c>
      <c r="H43" s="194">
        <v>0.63700000000000001</v>
      </c>
      <c r="I43" s="194">
        <v>0.65400000000000003</v>
      </c>
      <c r="J43" s="194">
        <v>26</v>
      </c>
      <c r="K43" s="194">
        <v>0.63600000000000001</v>
      </c>
      <c r="L43" s="194">
        <v>0.625</v>
      </c>
      <c r="M43" s="194">
        <v>24</v>
      </c>
      <c r="N43" s="194">
        <v>0.61599999999999999</v>
      </c>
      <c r="O43" s="194">
        <v>0.63</v>
      </c>
      <c r="P43" s="194">
        <v>27</v>
      </c>
      <c r="Q43" s="194">
        <v>0.60499999999999998</v>
      </c>
      <c r="R43" s="194">
        <v>0.59099999999999997</v>
      </c>
      <c r="S43" s="194">
        <v>22</v>
      </c>
      <c r="T43" s="194">
        <v>0.59299999999999997</v>
      </c>
      <c r="U43" s="194">
        <v>0.59499999999999997</v>
      </c>
      <c r="V43" s="194">
        <v>37</v>
      </c>
      <c r="W43" s="194"/>
      <c r="X43" s="194"/>
      <c r="Y43" s="194"/>
      <c r="Z43" s="194"/>
      <c r="AA43" s="194"/>
      <c r="AB43" s="194"/>
      <c r="AC43" s="194"/>
      <c r="AD43" s="194"/>
      <c r="AE43" s="194"/>
      <c r="AF43" s="194"/>
      <c r="AG43" s="194"/>
      <c r="AH43" s="194"/>
      <c r="AI43" s="194"/>
      <c r="AJ43" s="194"/>
      <c r="AK43" s="194"/>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row>
    <row r="44" spans="1:61" x14ac:dyDescent="0.3">
      <c r="A44" s="193" t="s">
        <v>448</v>
      </c>
      <c r="B44" s="194">
        <v>0.34</v>
      </c>
      <c r="C44" s="194">
        <v>0.37</v>
      </c>
      <c r="D44" s="194">
        <v>27</v>
      </c>
      <c r="E44" s="194">
        <v>0.34100000000000003</v>
      </c>
      <c r="F44" s="194">
        <v>0.308</v>
      </c>
      <c r="G44" s="194">
        <v>26</v>
      </c>
      <c r="H44" s="194">
        <v>0.4</v>
      </c>
      <c r="I44" s="194">
        <v>0.34300000000000003</v>
      </c>
      <c r="J44" s="194">
        <v>35</v>
      </c>
      <c r="K44" s="194">
        <v>0.42399999999999999</v>
      </c>
      <c r="L44" s="194">
        <v>0.58299999999999996</v>
      </c>
      <c r="M44" s="194">
        <v>24</v>
      </c>
      <c r="N44" s="194">
        <v>0.45600000000000002</v>
      </c>
      <c r="O44" s="194">
        <v>0.38500000000000001</v>
      </c>
      <c r="P44" s="194">
        <v>26</v>
      </c>
      <c r="Q44" s="194">
        <v>0.36899999999999999</v>
      </c>
      <c r="R44" s="194">
        <v>0.38900000000000001</v>
      </c>
      <c r="S44" s="194">
        <v>18</v>
      </c>
      <c r="T44" s="194">
        <v>0.35899999999999999</v>
      </c>
      <c r="U44" s="194">
        <v>0.33300000000000002</v>
      </c>
      <c r="V44" s="194">
        <v>21</v>
      </c>
      <c r="W44" s="194"/>
      <c r="X44" s="194"/>
      <c r="Y44" s="194"/>
      <c r="Z44" s="194"/>
      <c r="AA44" s="194"/>
      <c r="AB44" s="194"/>
      <c r="AC44" s="194"/>
      <c r="AD44" s="194"/>
      <c r="AE44" s="194"/>
      <c r="AF44" s="194"/>
      <c r="AG44" s="194"/>
      <c r="AH44" s="194"/>
      <c r="AI44" s="194"/>
      <c r="AJ44" s="194"/>
      <c r="AK44" s="194"/>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row>
    <row r="45" spans="1:61" x14ac:dyDescent="0.3">
      <c r="A45" s="193" t="s">
        <v>516</v>
      </c>
      <c r="B45" s="194">
        <v>0.77300000000000002</v>
      </c>
      <c r="C45" s="194">
        <v>0.79100000000000004</v>
      </c>
      <c r="D45" s="194">
        <v>43</v>
      </c>
      <c r="E45" s="194">
        <v>0.75</v>
      </c>
      <c r="F45" s="194">
        <v>0.75</v>
      </c>
      <c r="G45" s="194">
        <v>32</v>
      </c>
      <c r="H45" s="194">
        <v>0.64100000000000001</v>
      </c>
      <c r="I45" s="194">
        <v>0.68</v>
      </c>
      <c r="J45" s="194">
        <v>25</v>
      </c>
      <c r="K45" s="194">
        <v>0.57799999999999996</v>
      </c>
      <c r="L45" s="194">
        <v>0.51400000000000001</v>
      </c>
      <c r="M45" s="194">
        <v>35</v>
      </c>
      <c r="N45" s="194">
        <v>0.48499999999999999</v>
      </c>
      <c r="O45" s="194">
        <v>0.56699999999999995</v>
      </c>
      <c r="P45" s="194">
        <v>30</v>
      </c>
      <c r="Q45" s="194">
        <v>0.53300000000000003</v>
      </c>
      <c r="R45" s="194">
        <v>0.39500000000000002</v>
      </c>
      <c r="S45" s="194">
        <v>38</v>
      </c>
      <c r="T45" s="194">
        <v>0.51600000000000001</v>
      </c>
      <c r="U45" s="194">
        <v>0.70799999999999996</v>
      </c>
      <c r="V45" s="194">
        <v>24</v>
      </c>
      <c r="W45" s="194"/>
      <c r="X45" s="194"/>
      <c r="Y45" s="194"/>
      <c r="Z45" s="194"/>
      <c r="AA45" s="194"/>
      <c r="AB45" s="194"/>
      <c r="AC45" s="194"/>
      <c r="AD45" s="194"/>
      <c r="AE45" s="194"/>
      <c r="AF45" s="194"/>
      <c r="AG45" s="194"/>
      <c r="AH45" s="194"/>
      <c r="AI45" s="194"/>
      <c r="AJ45" s="194"/>
      <c r="AK45" s="194"/>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row>
    <row r="46" spans="1:61" x14ac:dyDescent="0.3">
      <c r="A46" s="193" t="s">
        <v>462</v>
      </c>
      <c r="B46" s="194">
        <v>0.66700000000000004</v>
      </c>
      <c r="C46" s="194">
        <v>0.7</v>
      </c>
      <c r="D46" s="194">
        <v>20</v>
      </c>
      <c r="E46" s="194">
        <v>0.46800000000000003</v>
      </c>
      <c r="F46" s="194">
        <v>0.625</v>
      </c>
      <c r="G46" s="194">
        <v>16</v>
      </c>
      <c r="H46" s="194">
        <v>0.44400000000000001</v>
      </c>
      <c r="I46" s="194">
        <v>0.192</v>
      </c>
      <c r="J46" s="194">
        <v>26</v>
      </c>
      <c r="K46" s="194">
        <v>0.46899999999999997</v>
      </c>
      <c r="L46" s="194">
        <v>0.61899999999999999</v>
      </c>
      <c r="M46" s="194">
        <v>21</v>
      </c>
      <c r="N46" s="194">
        <v>0.68600000000000005</v>
      </c>
      <c r="O46" s="194">
        <v>0.70599999999999996</v>
      </c>
      <c r="P46" s="194">
        <v>17</v>
      </c>
      <c r="Q46" s="194">
        <v>0.753</v>
      </c>
      <c r="R46" s="194">
        <v>0.71899999999999997</v>
      </c>
      <c r="S46" s="194">
        <v>32</v>
      </c>
      <c r="T46" s="194">
        <v>0.76700000000000002</v>
      </c>
      <c r="U46" s="194">
        <v>0.82099999999999995</v>
      </c>
      <c r="V46" s="194">
        <v>28</v>
      </c>
      <c r="W46" s="194"/>
      <c r="X46" s="194"/>
      <c r="Y46" s="194"/>
      <c r="Z46" s="194"/>
      <c r="AA46" s="194"/>
      <c r="AB46" s="194"/>
      <c r="AC46" s="194"/>
      <c r="AD46" s="194"/>
      <c r="AE46" s="194"/>
      <c r="AF46" s="194"/>
      <c r="AG46" s="194"/>
      <c r="AH46" s="194"/>
      <c r="AI46" s="194"/>
      <c r="AJ46" s="194"/>
      <c r="AK46" s="194"/>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row>
    <row r="47" spans="1:61" x14ac:dyDescent="0.3">
      <c r="A47" s="193" t="s">
        <v>442</v>
      </c>
      <c r="B47" s="194">
        <v>0.80500000000000005</v>
      </c>
      <c r="C47" s="194">
        <v>0.8</v>
      </c>
      <c r="D47" s="194">
        <v>15</v>
      </c>
      <c r="E47" s="194">
        <v>0.754</v>
      </c>
      <c r="F47" s="194">
        <v>0.80800000000000005</v>
      </c>
      <c r="G47" s="194">
        <v>26</v>
      </c>
      <c r="H47" s="194">
        <v>0.75</v>
      </c>
      <c r="I47" s="194">
        <v>0.65</v>
      </c>
      <c r="J47" s="194">
        <v>20</v>
      </c>
      <c r="K47" s="194">
        <v>0.7</v>
      </c>
      <c r="L47" s="194">
        <v>0.77800000000000002</v>
      </c>
      <c r="M47" s="194">
        <v>18</v>
      </c>
      <c r="N47" s="194">
        <v>0.75600000000000001</v>
      </c>
      <c r="O47" s="194">
        <v>0.66700000000000004</v>
      </c>
      <c r="P47" s="194">
        <v>12</v>
      </c>
      <c r="Q47" s="194">
        <v>0.66</v>
      </c>
      <c r="R47" s="194">
        <v>0.8</v>
      </c>
      <c r="S47" s="194">
        <v>15</v>
      </c>
      <c r="T47" s="194">
        <v>0.65800000000000003</v>
      </c>
      <c r="U47" s="194">
        <v>0.56499999999999995</v>
      </c>
      <c r="V47" s="194">
        <v>23</v>
      </c>
      <c r="W47" s="194"/>
      <c r="X47" s="194"/>
      <c r="Y47" s="194"/>
      <c r="Z47" s="194"/>
      <c r="AA47" s="194"/>
      <c r="AB47" s="194"/>
      <c r="AC47" s="194"/>
      <c r="AD47" s="194"/>
      <c r="AE47" s="194"/>
      <c r="AF47" s="194"/>
      <c r="AG47" s="194"/>
      <c r="AH47" s="194"/>
      <c r="AI47" s="194"/>
      <c r="AJ47" s="194"/>
      <c r="AK47" s="194"/>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row>
    <row r="48" spans="1:61" x14ac:dyDescent="0.3">
      <c r="A48" s="193" t="s">
        <v>444</v>
      </c>
      <c r="B48" s="194">
        <v>0.88900000000000001</v>
      </c>
      <c r="C48" s="194">
        <v>0.89700000000000002</v>
      </c>
      <c r="D48" s="194">
        <v>29</v>
      </c>
      <c r="E48" s="194">
        <v>0.80300000000000005</v>
      </c>
      <c r="F48" s="194">
        <v>0.875</v>
      </c>
      <c r="G48" s="194">
        <v>16</v>
      </c>
      <c r="H48" s="194">
        <v>0.75900000000000001</v>
      </c>
      <c r="I48" s="194">
        <v>0.61899999999999999</v>
      </c>
      <c r="J48" s="194">
        <v>21</v>
      </c>
      <c r="K48" s="194">
        <v>0.77300000000000002</v>
      </c>
      <c r="L48" s="194">
        <v>0.81</v>
      </c>
      <c r="M48" s="194">
        <v>21</v>
      </c>
      <c r="N48" s="194">
        <v>0.80900000000000005</v>
      </c>
      <c r="O48" s="194">
        <v>0.875</v>
      </c>
      <c r="P48" s="194">
        <v>24</v>
      </c>
      <c r="Q48" s="194">
        <v>0.82099999999999995</v>
      </c>
      <c r="R48" s="194">
        <v>0.73899999999999999</v>
      </c>
      <c r="S48" s="194">
        <v>23</v>
      </c>
      <c r="T48" s="194">
        <v>0.79100000000000004</v>
      </c>
      <c r="U48" s="194">
        <v>0.85</v>
      </c>
      <c r="V48" s="194">
        <v>20</v>
      </c>
      <c r="W48" s="194"/>
      <c r="X48" s="194"/>
      <c r="Y48" s="194"/>
      <c r="Z48" s="194"/>
      <c r="AA48" s="194"/>
      <c r="AB48" s="194"/>
      <c r="AC48" s="194"/>
      <c r="AD48" s="194"/>
      <c r="AE48" s="194"/>
      <c r="AF48" s="194"/>
      <c r="AG48" s="194"/>
      <c r="AH48" s="194"/>
      <c r="AI48" s="194"/>
      <c r="AJ48" s="194"/>
      <c r="AK48" s="194"/>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row>
    <row r="49" spans="1:61" x14ac:dyDescent="0.3">
      <c r="A49" s="193" t="s">
        <v>364</v>
      </c>
      <c r="B49" s="194">
        <v>0.22</v>
      </c>
      <c r="C49" s="194">
        <v>0.158</v>
      </c>
      <c r="D49" s="194">
        <v>19</v>
      </c>
      <c r="E49" s="194">
        <v>0.19700000000000001</v>
      </c>
      <c r="F49" s="194">
        <v>0.27300000000000002</v>
      </c>
      <c r="G49" s="194">
        <v>22</v>
      </c>
      <c r="H49" s="194">
        <v>0.17199999999999999</v>
      </c>
      <c r="I49" s="194">
        <v>0.15</v>
      </c>
      <c r="J49" s="194">
        <v>20</v>
      </c>
      <c r="K49" s="194">
        <v>0.19</v>
      </c>
      <c r="L49" s="194">
        <v>6.3E-2</v>
      </c>
      <c r="M49" s="194">
        <v>16</v>
      </c>
      <c r="N49" s="194">
        <v>0.19</v>
      </c>
      <c r="O49" s="194">
        <v>0.318</v>
      </c>
      <c r="P49" s="194">
        <v>22</v>
      </c>
      <c r="Q49" s="194">
        <v>0.28000000000000003</v>
      </c>
      <c r="R49" s="194">
        <v>0.16</v>
      </c>
      <c r="S49" s="194">
        <v>25</v>
      </c>
      <c r="T49" s="194">
        <v>0.26400000000000001</v>
      </c>
      <c r="U49" s="194">
        <v>0.35699999999999998</v>
      </c>
      <c r="V49" s="194">
        <v>28</v>
      </c>
      <c r="W49" s="194"/>
      <c r="X49" s="194"/>
      <c r="Y49" s="194"/>
      <c r="Z49" s="194"/>
      <c r="AA49" s="194"/>
      <c r="AB49" s="194"/>
      <c r="AC49" s="194"/>
      <c r="AD49" s="194"/>
      <c r="AE49" s="194"/>
      <c r="AF49" s="194"/>
      <c r="AG49" s="194"/>
      <c r="AH49" s="194"/>
      <c r="AI49" s="194"/>
      <c r="AJ49" s="194"/>
      <c r="AK49" s="194"/>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row>
    <row r="50" spans="1:61" x14ac:dyDescent="0.3">
      <c r="A50" s="193" t="s">
        <v>392</v>
      </c>
      <c r="B50" s="194">
        <v>0.26300000000000001</v>
      </c>
      <c r="C50" s="194">
        <v>0.222</v>
      </c>
      <c r="D50" s="194">
        <v>9</v>
      </c>
      <c r="E50" s="194">
        <v>0.30399999999999999</v>
      </c>
      <c r="F50" s="194">
        <v>0.3</v>
      </c>
      <c r="G50" s="194">
        <v>10</v>
      </c>
      <c r="H50" s="194">
        <v>0.36399999999999999</v>
      </c>
      <c r="I50" s="194">
        <v>0.5</v>
      </c>
      <c r="J50" s="194">
        <v>4</v>
      </c>
      <c r="K50" s="194">
        <v>0.41199999999999998</v>
      </c>
      <c r="L50" s="194">
        <v>0.375</v>
      </c>
      <c r="M50" s="194">
        <v>8</v>
      </c>
      <c r="N50" s="194">
        <v>0.25</v>
      </c>
      <c r="O50" s="194">
        <v>0.4</v>
      </c>
      <c r="P50" s="194">
        <v>5</v>
      </c>
      <c r="Q50" s="194">
        <v>0.2</v>
      </c>
      <c r="R50" s="194">
        <v>0</v>
      </c>
      <c r="S50" s="194">
        <v>7</v>
      </c>
      <c r="T50" s="194">
        <v>0.13300000000000001</v>
      </c>
      <c r="U50" s="194">
        <v>0.25</v>
      </c>
      <c r="V50" s="194">
        <v>8</v>
      </c>
      <c r="W50" s="194"/>
      <c r="X50" s="194"/>
      <c r="Y50" s="194"/>
      <c r="Z50" s="194"/>
      <c r="AA50" s="194"/>
      <c r="AB50" s="194"/>
      <c r="AC50" s="194"/>
      <c r="AD50" s="194"/>
      <c r="AE50" s="194"/>
      <c r="AF50" s="194"/>
      <c r="AG50" s="194"/>
      <c r="AH50" s="194"/>
      <c r="AI50" s="194"/>
      <c r="AJ50" s="194"/>
      <c r="AK50" s="194"/>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row>
    <row r="51" spans="1:61" x14ac:dyDescent="0.3">
      <c r="A51" s="193" t="s">
        <v>325</v>
      </c>
      <c r="B51" s="194">
        <v>0</v>
      </c>
      <c r="C51" s="194"/>
      <c r="D51" s="194"/>
      <c r="E51" s="194">
        <v>0</v>
      </c>
      <c r="F51" s="194">
        <v>0</v>
      </c>
      <c r="G51" s="194">
        <v>3</v>
      </c>
      <c r="H51" s="194">
        <v>0</v>
      </c>
      <c r="I51" s="194">
        <v>0</v>
      </c>
      <c r="J51" s="194">
        <v>3</v>
      </c>
      <c r="K51" s="194">
        <v>0.14299999999999999</v>
      </c>
      <c r="L51" s="194">
        <v>0</v>
      </c>
      <c r="M51" s="194">
        <v>1</v>
      </c>
      <c r="N51" s="194">
        <v>0.375</v>
      </c>
      <c r="O51" s="194">
        <v>0.33300000000000002</v>
      </c>
      <c r="P51" s="194">
        <v>3</v>
      </c>
      <c r="Q51" s="194">
        <v>0.3</v>
      </c>
      <c r="R51" s="194">
        <v>0.5</v>
      </c>
      <c r="S51" s="194">
        <v>4</v>
      </c>
      <c r="T51" s="194">
        <v>0.28599999999999998</v>
      </c>
      <c r="U51" s="194">
        <v>0</v>
      </c>
      <c r="V51" s="194">
        <v>3</v>
      </c>
      <c r="W51" s="194"/>
      <c r="X51" s="194"/>
      <c r="Y51" s="194"/>
      <c r="Z51" s="194"/>
      <c r="AA51" s="194"/>
      <c r="AB51" s="194"/>
      <c r="AC51" s="194"/>
      <c r="AD51" s="194"/>
      <c r="AE51" s="194"/>
      <c r="AF51" s="194"/>
      <c r="AG51" s="194"/>
      <c r="AH51" s="194"/>
      <c r="AI51" s="194"/>
      <c r="AJ51" s="194"/>
      <c r="AK51" s="194"/>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row>
    <row r="52" spans="1:61" x14ac:dyDescent="0.3">
      <c r="A52" s="193" t="s">
        <v>478</v>
      </c>
      <c r="B52" s="194">
        <v>0.53800000000000003</v>
      </c>
      <c r="C52" s="194">
        <v>0.45800000000000002</v>
      </c>
      <c r="D52" s="194">
        <v>24</v>
      </c>
      <c r="E52" s="194">
        <v>0.6</v>
      </c>
      <c r="F52" s="194">
        <v>0.60699999999999998</v>
      </c>
      <c r="G52" s="194">
        <v>28</v>
      </c>
      <c r="H52" s="194">
        <v>0.69699999999999995</v>
      </c>
      <c r="I52" s="194">
        <v>0.77800000000000002</v>
      </c>
      <c r="J52" s="194">
        <v>18</v>
      </c>
      <c r="K52" s="194">
        <v>0.72499999999999998</v>
      </c>
      <c r="L52" s="194">
        <v>0.75</v>
      </c>
      <c r="M52" s="194">
        <v>20</v>
      </c>
      <c r="N52" s="194">
        <v>0.66</v>
      </c>
      <c r="O52" s="194">
        <v>0.61499999999999999</v>
      </c>
      <c r="P52" s="194">
        <v>13</v>
      </c>
      <c r="Q52" s="194">
        <v>0.64300000000000002</v>
      </c>
      <c r="R52" s="194">
        <v>0.6</v>
      </c>
      <c r="S52" s="194">
        <v>20</v>
      </c>
      <c r="T52" s="194">
        <v>0.65100000000000002</v>
      </c>
      <c r="U52" s="194">
        <v>0.69599999999999995</v>
      </c>
      <c r="V52" s="194">
        <v>23</v>
      </c>
      <c r="W52" s="194"/>
      <c r="X52" s="194"/>
      <c r="Y52" s="194"/>
      <c r="Z52" s="194"/>
      <c r="AA52" s="194"/>
      <c r="AB52" s="194"/>
      <c r="AC52" s="194"/>
      <c r="AD52" s="194"/>
      <c r="AE52" s="194"/>
      <c r="AF52" s="194"/>
      <c r="AG52" s="194"/>
      <c r="AH52" s="194"/>
      <c r="AI52" s="194"/>
      <c r="AJ52" s="194"/>
      <c r="AK52" s="194"/>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row>
    <row r="53" spans="1:61" x14ac:dyDescent="0.3">
      <c r="A53" s="193" t="s">
        <v>474</v>
      </c>
      <c r="B53" s="194">
        <v>0.56000000000000005</v>
      </c>
      <c r="C53" s="194">
        <v>0.38500000000000001</v>
      </c>
      <c r="D53" s="194">
        <v>13</v>
      </c>
      <c r="E53" s="194">
        <v>0.63900000000000001</v>
      </c>
      <c r="F53" s="194">
        <v>0.75</v>
      </c>
      <c r="G53" s="194">
        <v>12</v>
      </c>
      <c r="H53" s="194">
        <v>0.71399999999999997</v>
      </c>
      <c r="I53" s="194">
        <v>0.81799999999999995</v>
      </c>
      <c r="J53" s="194">
        <v>11</v>
      </c>
      <c r="K53" s="194">
        <v>0.55900000000000005</v>
      </c>
      <c r="L53" s="194">
        <v>0.58299999999999996</v>
      </c>
      <c r="M53" s="194">
        <v>12</v>
      </c>
      <c r="N53" s="194">
        <v>0.41899999999999998</v>
      </c>
      <c r="O53" s="194">
        <v>0.27300000000000002</v>
      </c>
      <c r="P53" s="194">
        <v>11</v>
      </c>
      <c r="Q53" s="194">
        <v>0.34599999999999997</v>
      </c>
      <c r="R53" s="194">
        <v>0.375</v>
      </c>
      <c r="S53" s="194">
        <v>8</v>
      </c>
      <c r="T53" s="194">
        <v>0.4</v>
      </c>
      <c r="U53" s="194">
        <v>0.42899999999999999</v>
      </c>
      <c r="V53" s="194">
        <v>7</v>
      </c>
      <c r="W53" s="194"/>
      <c r="X53" s="194"/>
      <c r="Y53" s="194"/>
      <c r="Z53" s="194"/>
      <c r="AA53" s="194"/>
      <c r="AB53" s="194"/>
      <c r="AC53" s="194"/>
      <c r="AD53" s="194"/>
      <c r="AE53" s="194"/>
      <c r="AF53" s="194"/>
      <c r="AG53" s="194"/>
      <c r="AH53" s="194"/>
      <c r="AI53" s="194"/>
      <c r="AJ53" s="194"/>
      <c r="AK53" s="194"/>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row>
    <row r="54" spans="1:61" x14ac:dyDescent="0.3">
      <c r="A54" s="193" t="s">
        <v>532</v>
      </c>
      <c r="B54" s="194">
        <v>0.81299999999999994</v>
      </c>
      <c r="C54" s="194">
        <v>0.85199999999999998</v>
      </c>
      <c r="D54" s="194">
        <v>27</v>
      </c>
      <c r="E54" s="194">
        <v>0.69299999999999995</v>
      </c>
      <c r="F54" s="194">
        <v>0.76200000000000001</v>
      </c>
      <c r="G54" s="194">
        <v>21</v>
      </c>
      <c r="H54" s="194">
        <v>0.63500000000000001</v>
      </c>
      <c r="I54" s="194">
        <v>0.55000000000000004</v>
      </c>
      <c r="J54" s="194">
        <v>40</v>
      </c>
      <c r="K54" s="194">
        <v>0.64200000000000002</v>
      </c>
      <c r="L54" s="194">
        <v>0.66700000000000004</v>
      </c>
      <c r="M54" s="194">
        <v>24</v>
      </c>
      <c r="N54" s="194">
        <v>0.76900000000000002</v>
      </c>
      <c r="O54" s="194">
        <v>0.82399999999999995</v>
      </c>
      <c r="P54" s="194">
        <v>17</v>
      </c>
      <c r="Q54" s="194">
        <v>0.72699999999999998</v>
      </c>
      <c r="R54" s="194">
        <v>0.83299999999999996</v>
      </c>
      <c r="S54" s="194">
        <v>24</v>
      </c>
      <c r="T54" s="194">
        <v>0.69399999999999995</v>
      </c>
      <c r="U54" s="194">
        <v>0.56000000000000005</v>
      </c>
      <c r="V54" s="194">
        <v>25</v>
      </c>
      <c r="W54" s="194"/>
      <c r="X54" s="194"/>
      <c r="Y54" s="194"/>
      <c r="Z54" s="194"/>
      <c r="AA54" s="194"/>
      <c r="AB54" s="194"/>
      <c r="AC54" s="194"/>
      <c r="AD54" s="194"/>
      <c r="AE54" s="194"/>
      <c r="AF54" s="194"/>
      <c r="AG54" s="194"/>
      <c r="AH54" s="194"/>
      <c r="AI54" s="194"/>
      <c r="AJ54" s="194"/>
      <c r="AK54" s="194"/>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row>
    <row r="55" spans="1:61" x14ac:dyDescent="0.3">
      <c r="A55" s="193" t="s">
        <v>429</v>
      </c>
      <c r="B55" s="194">
        <v>0.56100000000000005</v>
      </c>
      <c r="C55" s="194">
        <v>0.5</v>
      </c>
      <c r="D55" s="194">
        <v>20</v>
      </c>
      <c r="E55" s="194">
        <v>0.56100000000000005</v>
      </c>
      <c r="F55" s="194">
        <v>0.61899999999999999</v>
      </c>
      <c r="G55" s="194">
        <v>21</v>
      </c>
      <c r="H55" s="194">
        <v>0.55600000000000005</v>
      </c>
      <c r="I55" s="194">
        <v>0.56000000000000005</v>
      </c>
      <c r="J55" s="194">
        <v>25</v>
      </c>
      <c r="K55" s="194">
        <v>0.47599999999999998</v>
      </c>
      <c r="L55" s="194">
        <v>0.47099999999999997</v>
      </c>
      <c r="M55" s="194">
        <v>17</v>
      </c>
      <c r="N55" s="194">
        <v>0.49199999999999999</v>
      </c>
      <c r="O55" s="194">
        <v>0.38100000000000001</v>
      </c>
      <c r="P55" s="194">
        <v>21</v>
      </c>
      <c r="Q55" s="194">
        <v>0.54300000000000004</v>
      </c>
      <c r="R55" s="194">
        <v>0.6</v>
      </c>
      <c r="S55" s="194">
        <v>25</v>
      </c>
      <c r="T55" s="194">
        <v>0.61199999999999999</v>
      </c>
      <c r="U55" s="194">
        <v>0.625</v>
      </c>
      <c r="V55" s="194">
        <v>24</v>
      </c>
      <c r="W55" s="194"/>
      <c r="X55" s="194"/>
      <c r="Y55" s="194"/>
      <c r="Z55" s="194"/>
      <c r="AA55" s="194"/>
      <c r="AB55" s="194"/>
      <c r="AC55" s="194"/>
      <c r="AD55" s="194"/>
      <c r="AE55" s="194"/>
      <c r="AF55" s="194"/>
      <c r="AG55" s="194"/>
      <c r="AH55" s="194"/>
      <c r="AI55" s="194"/>
      <c r="AJ55" s="194"/>
      <c r="AK55" s="194"/>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row>
    <row r="56" spans="1:61" x14ac:dyDescent="0.3">
      <c r="A56" s="193" t="s">
        <v>339</v>
      </c>
      <c r="B56" s="194">
        <v>0.92900000000000005</v>
      </c>
      <c r="C56" s="194">
        <v>0.88900000000000001</v>
      </c>
      <c r="D56" s="194">
        <v>9</v>
      </c>
      <c r="E56" s="194">
        <v>0.78900000000000003</v>
      </c>
      <c r="F56" s="194">
        <v>1</v>
      </c>
      <c r="G56" s="194">
        <v>5</v>
      </c>
      <c r="H56" s="194">
        <v>0.53800000000000003</v>
      </c>
      <c r="I56" s="194">
        <v>0.4</v>
      </c>
      <c r="J56" s="194">
        <v>5</v>
      </c>
      <c r="K56" s="194">
        <v>0.25</v>
      </c>
      <c r="L56" s="194">
        <v>0</v>
      </c>
      <c r="M56" s="194">
        <v>3</v>
      </c>
      <c r="N56" s="194">
        <v>0.33300000000000002</v>
      </c>
      <c r="O56" s="194">
        <v>0.25</v>
      </c>
      <c r="P56" s="194">
        <v>4</v>
      </c>
      <c r="Q56" s="194">
        <v>0.44400000000000001</v>
      </c>
      <c r="R56" s="194">
        <v>1</v>
      </c>
      <c r="S56" s="194">
        <v>2</v>
      </c>
      <c r="T56" s="194">
        <v>0.6</v>
      </c>
      <c r="U56" s="194">
        <v>0.33300000000000002</v>
      </c>
      <c r="V56" s="194">
        <v>3</v>
      </c>
      <c r="W56" s="194"/>
      <c r="X56" s="194"/>
      <c r="Y56" s="194"/>
      <c r="Z56" s="194"/>
      <c r="AA56" s="194"/>
      <c r="AB56" s="194"/>
      <c r="AC56" s="194"/>
      <c r="AD56" s="194"/>
      <c r="AE56" s="194"/>
      <c r="AF56" s="194"/>
      <c r="AG56" s="194"/>
      <c r="AH56" s="194"/>
      <c r="AI56" s="194"/>
      <c r="AJ56" s="194"/>
      <c r="AK56" s="194"/>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row>
    <row r="57" spans="1:61" x14ac:dyDescent="0.3">
      <c r="A57" s="193" t="s">
        <v>318</v>
      </c>
      <c r="B57" s="194">
        <v>0.75</v>
      </c>
      <c r="C57" s="194">
        <v>0.8</v>
      </c>
      <c r="D57" s="194">
        <v>5</v>
      </c>
      <c r="E57" s="194">
        <v>0.66700000000000004</v>
      </c>
      <c r="F57" s="194">
        <v>0.71399999999999997</v>
      </c>
      <c r="G57" s="194">
        <v>7</v>
      </c>
      <c r="H57" s="194">
        <v>0.66700000000000004</v>
      </c>
      <c r="I57" s="194">
        <v>0.5</v>
      </c>
      <c r="J57" s="194">
        <v>6</v>
      </c>
      <c r="K57" s="194">
        <v>0.61499999999999999</v>
      </c>
      <c r="L57" s="194">
        <v>0.8</v>
      </c>
      <c r="M57" s="194">
        <v>5</v>
      </c>
      <c r="N57" s="194">
        <v>0.82599999999999996</v>
      </c>
      <c r="O57" s="194">
        <v>0.5</v>
      </c>
      <c r="P57" s="194">
        <v>2</v>
      </c>
      <c r="Q57" s="194">
        <v>0.84599999999999997</v>
      </c>
      <c r="R57" s="194">
        <v>0.875</v>
      </c>
      <c r="S57" s="194">
        <v>16</v>
      </c>
      <c r="T57" s="194">
        <v>0.875</v>
      </c>
      <c r="U57" s="194">
        <v>0.875</v>
      </c>
      <c r="V57" s="194">
        <v>8</v>
      </c>
      <c r="W57" s="194"/>
      <c r="X57" s="194"/>
      <c r="Y57" s="194"/>
      <c r="Z57" s="194"/>
      <c r="AA57" s="194"/>
      <c r="AB57" s="194"/>
      <c r="AC57" s="194"/>
      <c r="AD57" s="194"/>
      <c r="AE57" s="194"/>
      <c r="AF57" s="194"/>
      <c r="AG57" s="194"/>
      <c r="AH57" s="194"/>
      <c r="AI57" s="194"/>
      <c r="AJ57" s="194"/>
      <c r="AK57" s="194"/>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row>
    <row r="58" spans="1:61" x14ac:dyDescent="0.3">
      <c r="A58" s="193" t="s">
        <v>384</v>
      </c>
      <c r="B58" s="194">
        <v>0.23699999999999999</v>
      </c>
      <c r="C58" s="194">
        <v>0.24</v>
      </c>
      <c r="D58" s="194">
        <v>25</v>
      </c>
      <c r="E58" s="194">
        <v>0.23899999999999999</v>
      </c>
      <c r="F58" s="194">
        <v>0.23499999999999999</v>
      </c>
      <c r="G58" s="194">
        <v>34</v>
      </c>
      <c r="H58" s="194">
        <v>0.23499999999999999</v>
      </c>
      <c r="I58" s="194">
        <v>0.24099999999999999</v>
      </c>
      <c r="J58" s="194">
        <v>29</v>
      </c>
      <c r="K58" s="194">
        <v>0.26400000000000001</v>
      </c>
      <c r="L58" s="194">
        <v>0.22700000000000001</v>
      </c>
      <c r="M58" s="194">
        <v>22</v>
      </c>
      <c r="N58" s="194">
        <v>0.26900000000000002</v>
      </c>
      <c r="O58" s="194">
        <v>0.33300000000000002</v>
      </c>
      <c r="P58" s="194">
        <v>21</v>
      </c>
      <c r="Q58" s="194">
        <v>0.30099999999999999</v>
      </c>
      <c r="R58" s="194">
        <v>0.25</v>
      </c>
      <c r="S58" s="194">
        <v>24</v>
      </c>
      <c r="T58" s="194">
        <v>0.28799999999999998</v>
      </c>
      <c r="U58" s="194">
        <v>0.32100000000000001</v>
      </c>
      <c r="V58" s="194">
        <v>28</v>
      </c>
      <c r="W58" s="194"/>
      <c r="X58" s="194"/>
      <c r="Y58" s="194"/>
      <c r="Z58" s="194"/>
      <c r="AA58" s="194"/>
      <c r="AB58" s="194"/>
      <c r="AC58" s="194"/>
      <c r="AD58" s="194"/>
      <c r="AE58" s="194"/>
      <c r="AF58" s="194"/>
      <c r="AG58" s="194"/>
      <c r="AH58" s="194"/>
      <c r="AI58" s="194"/>
      <c r="AJ58" s="194"/>
      <c r="AK58" s="194"/>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row>
    <row r="59" spans="1:61" x14ac:dyDescent="0.3">
      <c r="A59" s="193" t="s">
        <v>464</v>
      </c>
      <c r="B59" s="194">
        <v>0.313</v>
      </c>
      <c r="C59" s="194">
        <v>0</v>
      </c>
      <c r="D59" s="194">
        <v>3</v>
      </c>
      <c r="E59" s="194">
        <v>0.17899999999999999</v>
      </c>
      <c r="F59" s="194">
        <v>0.38500000000000001</v>
      </c>
      <c r="G59" s="194">
        <v>13</v>
      </c>
      <c r="H59" s="194">
        <v>0.154</v>
      </c>
      <c r="I59" s="194">
        <v>0</v>
      </c>
      <c r="J59" s="194">
        <v>12</v>
      </c>
      <c r="K59" s="194">
        <v>0.108</v>
      </c>
      <c r="L59" s="194">
        <v>7.0999999999999994E-2</v>
      </c>
      <c r="M59" s="194">
        <v>14</v>
      </c>
      <c r="N59" s="194">
        <v>0.17100000000000001</v>
      </c>
      <c r="O59" s="194">
        <v>0.27300000000000002</v>
      </c>
      <c r="P59" s="194">
        <v>11</v>
      </c>
      <c r="Q59" s="194">
        <v>0.19400000000000001</v>
      </c>
      <c r="R59" s="194">
        <v>0.2</v>
      </c>
      <c r="S59" s="194">
        <v>10</v>
      </c>
      <c r="T59" s="194">
        <v>0.15</v>
      </c>
      <c r="U59" s="194">
        <v>0.1</v>
      </c>
      <c r="V59" s="194">
        <v>10</v>
      </c>
      <c r="W59" s="194"/>
      <c r="X59" s="194"/>
      <c r="Y59" s="194"/>
      <c r="Z59" s="194"/>
      <c r="AA59" s="194"/>
      <c r="AB59" s="194"/>
      <c r="AC59" s="194"/>
      <c r="AD59" s="194"/>
      <c r="AE59" s="194"/>
      <c r="AF59" s="194"/>
      <c r="AG59" s="194"/>
      <c r="AH59" s="194"/>
      <c r="AI59" s="194"/>
      <c r="AJ59" s="194"/>
      <c r="AK59" s="194"/>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row>
    <row r="60" spans="1:61" x14ac:dyDescent="0.3">
      <c r="A60" s="193" t="s">
        <v>439</v>
      </c>
      <c r="B60" s="194">
        <v>0.67800000000000005</v>
      </c>
      <c r="C60" s="194">
        <v>0.69399999999999995</v>
      </c>
      <c r="D60" s="194">
        <v>36</v>
      </c>
      <c r="E60" s="194">
        <v>0.67800000000000005</v>
      </c>
      <c r="F60" s="194">
        <v>0.65200000000000002</v>
      </c>
      <c r="G60" s="194">
        <v>23</v>
      </c>
      <c r="H60" s="194">
        <v>0.65800000000000003</v>
      </c>
      <c r="I60" s="194">
        <v>0.67900000000000005</v>
      </c>
      <c r="J60" s="194">
        <v>28</v>
      </c>
      <c r="K60" s="194">
        <v>0.63900000000000001</v>
      </c>
      <c r="L60" s="194">
        <v>0.63600000000000001</v>
      </c>
      <c r="M60" s="194">
        <v>22</v>
      </c>
      <c r="N60" s="194">
        <v>0.66700000000000004</v>
      </c>
      <c r="O60" s="194">
        <v>0.59099999999999997</v>
      </c>
      <c r="P60" s="194">
        <v>22</v>
      </c>
      <c r="Q60" s="194">
        <v>0.73699999999999999</v>
      </c>
      <c r="R60" s="194">
        <v>0.73499999999999999</v>
      </c>
      <c r="S60" s="194">
        <v>34</v>
      </c>
      <c r="T60" s="194">
        <v>0.78100000000000003</v>
      </c>
      <c r="U60" s="194">
        <v>0.82099999999999995</v>
      </c>
      <c r="V60" s="194">
        <v>39</v>
      </c>
      <c r="W60" s="194"/>
      <c r="X60" s="194"/>
      <c r="Y60" s="194"/>
      <c r="Z60" s="194"/>
      <c r="AA60" s="194"/>
      <c r="AB60" s="194"/>
      <c r="AC60" s="194"/>
      <c r="AD60" s="194"/>
      <c r="AE60" s="194"/>
      <c r="AF60" s="194"/>
      <c r="AG60" s="194"/>
      <c r="AH60" s="194"/>
      <c r="AI60" s="194"/>
      <c r="AJ60" s="194"/>
      <c r="AK60" s="194"/>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row>
    <row r="61" spans="1:61" x14ac:dyDescent="0.3">
      <c r="A61" s="193" t="s">
        <v>522</v>
      </c>
      <c r="B61" s="194">
        <v>0.57099999999999995</v>
      </c>
      <c r="C61" s="194">
        <v>0.66700000000000004</v>
      </c>
      <c r="D61" s="194">
        <v>9</v>
      </c>
      <c r="E61" s="194">
        <v>0.58299999999999996</v>
      </c>
      <c r="F61" s="194">
        <v>0.5</v>
      </c>
      <c r="G61" s="194">
        <v>12</v>
      </c>
      <c r="H61" s="194">
        <v>0.60499999999999998</v>
      </c>
      <c r="I61" s="194">
        <v>0.6</v>
      </c>
      <c r="J61" s="194">
        <v>15</v>
      </c>
      <c r="K61" s="194">
        <v>0.65200000000000002</v>
      </c>
      <c r="L61" s="194">
        <v>0.68799999999999994</v>
      </c>
      <c r="M61" s="194">
        <v>16</v>
      </c>
      <c r="N61" s="194">
        <v>0.64300000000000002</v>
      </c>
      <c r="O61" s="194">
        <v>0.66700000000000004</v>
      </c>
      <c r="P61" s="194">
        <v>15</v>
      </c>
      <c r="Q61" s="194">
        <v>0.65100000000000002</v>
      </c>
      <c r="R61" s="194">
        <v>0.54500000000000004</v>
      </c>
      <c r="S61" s="194">
        <v>11</v>
      </c>
      <c r="T61" s="194">
        <v>0.64300000000000002</v>
      </c>
      <c r="U61" s="194">
        <v>0.70599999999999996</v>
      </c>
      <c r="V61" s="194">
        <v>17</v>
      </c>
      <c r="W61" s="194"/>
      <c r="X61" s="194"/>
      <c r="Y61" s="194"/>
      <c r="Z61" s="194"/>
      <c r="AA61" s="194"/>
      <c r="AB61" s="194"/>
      <c r="AC61" s="194"/>
      <c r="AD61" s="194"/>
      <c r="AE61" s="194"/>
      <c r="AF61" s="194"/>
      <c r="AG61" s="194"/>
      <c r="AH61" s="194"/>
      <c r="AI61" s="194"/>
      <c r="AJ61" s="194"/>
      <c r="AK61" s="194"/>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row>
    <row r="62" spans="1:61" x14ac:dyDescent="0.3">
      <c r="A62" s="193" t="s">
        <v>508</v>
      </c>
      <c r="B62" s="194">
        <v>0</v>
      </c>
      <c r="C62" s="194">
        <v>0</v>
      </c>
      <c r="D62" s="194">
        <v>3</v>
      </c>
      <c r="E62" s="194">
        <v>0.125</v>
      </c>
      <c r="F62" s="194">
        <v>0</v>
      </c>
      <c r="G62" s="194">
        <v>2</v>
      </c>
      <c r="H62" s="194">
        <v>0.33300000000000002</v>
      </c>
      <c r="I62" s="194">
        <v>0.33300000000000002</v>
      </c>
      <c r="J62" s="194">
        <v>3</v>
      </c>
      <c r="K62" s="194">
        <v>0.25</v>
      </c>
      <c r="L62" s="194">
        <v>1</v>
      </c>
      <c r="M62" s="194">
        <v>1</v>
      </c>
      <c r="N62" s="194">
        <v>0.16700000000000001</v>
      </c>
      <c r="O62" s="194">
        <v>0</v>
      </c>
      <c r="P62" s="194">
        <v>4</v>
      </c>
      <c r="Q62" s="194">
        <v>0</v>
      </c>
      <c r="R62" s="194">
        <v>0</v>
      </c>
      <c r="S62" s="194">
        <v>1</v>
      </c>
      <c r="T62" s="194">
        <v>0</v>
      </c>
      <c r="U62" s="194">
        <v>0</v>
      </c>
      <c r="V62" s="194">
        <v>1</v>
      </c>
      <c r="W62" s="194"/>
      <c r="X62" s="194"/>
      <c r="Y62" s="194"/>
      <c r="Z62" s="194"/>
      <c r="AA62" s="194"/>
      <c r="AB62" s="194"/>
      <c r="AC62" s="194"/>
      <c r="AD62" s="194"/>
      <c r="AE62" s="194"/>
      <c r="AF62" s="194"/>
      <c r="AG62" s="194"/>
      <c r="AH62" s="194"/>
      <c r="AI62" s="194"/>
      <c r="AJ62" s="194"/>
      <c r="AK62" s="194"/>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row>
    <row r="63" spans="1:61" x14ac:dyDescent="0.3">
      <c r="A63" s="193" t="s">
        <v>506</v>
      </c>
      <c r="B63" s="194">
        <v>0.49</v>
      </c>
      <c r="C63" s="194">
        <v>0.52</v>
      </c>
      <c r="D63" s="194">
        <v>25</v>
      </c>
      <c r="E63" s="194">
        <v>0.435</v>
      </c>
      <c r="F63" s="194">
        <v>0.45800000000000002</v>
      </c>
      <c r="G63" s="194">
        <v>24</v>
      </c>
      <c r="H63" s="194">
        <v>0.432</v>
      </c>
      <c r="I63" s="194">
        <v>0.3</v>
      </c>
      <c r="J63" s="194">
        <v>20</v>
      </c>
      <c r="K63" s="194">
        <v>0.44600000000000001</v>
      </c>
      <c r="L63" s="194">
        <v>0.5</v>
      </c>
      <c r="M63" s="194">
        <v>30</v>
      </c>
      <c r="N63" s="194">
        <v>0.55600000000000005</v>
      </c>
      <c r="O63" s="194">
        <v>0.53300000000000003</v>
      </c>
      <c r="P63" s="194">
        <v>15</v>
      </c>
      <c r="Q63" s="194">
        <v>0.56100000000000005</v>
      </c>
      <c r="R63" s="194">
        <v>0.66700000000000004</v>
      </c>
      <c r="S63" s="194">
        <v>18</v>
      </c>
      <c r="T63" s="194">
        <v>0.57099999999999995</v>
      </c>
      <c r="U63" s="194">
        <v>0.5</v>
      </c>
      <c r="V63" s="194">
        <v>24</v>
      </c>
      <c r="W63" s="194"/>
      <c r="X63" s="194"/>
      <c r="Y63" s="194"/>
      <c r="Z63" s="194"/>
      <c r="AA63" s="194"/>
      <c r="AB63" s="194"/>
      <c r="AC63" s="194"/>
      <c r="AD63" s="194"/>
      <c r="AE63" s="194"/>
      <c r="AF63" s="194"/>
      <c r="AG63" s="194"/>
      <c r="AH63" s="194"/>
      <c r="AI63" s="194"/>
      <c r="AJ63" s="194"/>
      <c r="AK63" s="194"/>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row>
    <row r="64" spans="1:61" x14ac:dyDescent="0.3">
      <c r="A64" s="193" t="s">
        <v>550</v>
      </c>
      <c r="B64" s="194">
        <v>0.85699999999999998</v>
      </c>
      <c r="C64" s="194">
        <v>0.8</v>
      </c>
      <c r="D64" s="194">
        <v>5</v>
      </c>
      <c r="E64" s="194">
        <v>0.53300000000000003</v>
      </c>
      <c r="F64" s="194">
        <v>1</v>
      </c>
      <c r="G64" s="194">
        <v>2</v>
      </c>
      <c r="H64" s="194">
        <v>0.47399999999999998</v>
      </c>
      <c r="I64" s="194">
        <v>0.25</v>
      </c>
      <c r="J64" s="194">
        <v>8</v>
      </c>
      <c r="K64" s="194">
        <v>0.45800000000000002</v>
      </c>
      <c r="L64" s="194">
        <v>0.55600000000000005</v>
      </c>
      <c r="M64" s="194">
        <v>9</v>
      </c>
      <c r="N64" s="194">
        <v>0.52900000000000003</v>
      </c>
      <c r="O64" s="194">
        <v>0.57099999999999995</v>
      </c>
      <c r="P64" s="194">
        <v>7</v>
      </c>
      <c r="Q64" s="194">
        <v>0.61499999999999999</v>
      </c>
      <c r="R64" s="194">
        <v>0</v>
      </c>
      <c r="S64" s="194">
        <v>1</v>
      </c>
      <c r="T64" s="194">
        <v>0.66700000000000004</v>
      </c>
      <c r="U64" s="194">
        <v>0.8</v>
      </c>
      <c r="V64" s="194">
        <v>5</v>
      </c>
      <c r="W64" s="194"/>
      <c r="X64" s="194"/>
      <c r="Y64" s="194"/>
      <c r="Z64" s="194"/>
      <c r="AA64" s="194"/>
      <c r="AB64" s="194"/>
      <c r="AC64" s="194"/>
      <c r="AD64" s="194"/>
      <c r="AE64" s="194"/>
      <c r="AF64" s="194"/>
      <c r="AG64" s="194"/>
      <c r="AH64" s="194"/>
      <c r="AI64" s="194"/>
      <c r="AJ64" s="194"/>
      <c r="AK64" s="194"/>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row>
    <row r="65" spans="1:61" x14ac:dyDescent="0.3">
      <c r="A65" s="193" t="s">
        <v>356</v>
      </c>
      <c r="B65" s="194">
        <v>0.61099999999999999</v>
      </c>
      <c r="C65" s="194">
        <v>0.375</v>
      </c>
      <c r="D65" s="194">
        <v>8</v>
      </c>
      <c r="E65" s="194">
        <v>0.54200000000000004</v>
      </c>
      <c r="F65" s="194">
        <v>0.8</v>
      </c>
      <c r="G65" s="194">
        <v>10</v>
      </c>
      <c r="H65" s="194">
        <v>0.69599999999999995</v>
      </c>
      <c r="I65" s="194">
        <v>0.33300000000000002</v>
      </c>
      <c r="J65" s="194">
        <v>6</v>
      </c>
      <c r="K65" s="194">
        <v>0.55000000000000004</v>
      </c>
      <c r="L65" s="194">
        <v>0.85699999999999998</v>
      </c>
      <c r="M65" s="194">
        <v>7</v>
      </c>
      <c r="N65" s="194">
        <v>0.68799999999999994</v>
      </c>
      <c r="O65" s="194">
        <v>0.42899999999999999</v>
      </c>
      <c r="P65" s="194">
        <v>7</v>
      </c>
      <c r="Q65" s="194">
        <v>0.63600000000000001</v>
      </c>
      <c r="R65" s="194">
        <v>1</v>
      </c>
      <c r="S65" s="194">
        <v>2</v>
      </c>
      <c r="T65" s="194">
        <v>1</v>
      </c>
      <c r="U65" s="194">
        <v>1</v>
      </c>
      <c r="V65" s="194">
        <v>2</v>
      </c>
      <c r="W65" s="194"/>
      <c r="X65" s="194"/>
      <c r="Y65" s="194"/>
      <c r="Z65" s="194"/>
      <c r="AA65" s="194"/>
      <c r="AB65" s="194"/>
      <c r="AC65" s="194"/>
      <c r="AD65" s="194"/>
      <c r="AE65" s="194"/>
      <c r="AF65" s="194"/>
      <c r="AG65" s="194"/>
      <c r="AH65" s="194"/>
      <c r="AI65" s="194"/>
      <c r="AJ65" s="194"/>
      <c r="AK65" s="194"/>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row>
    <row r="66" spans="1:61" x14ac:dyDescent="0.3">
      <c r="A66" s="193" t="s">
        <v>414</v>
      </c>
      <c r="B66" s="194">
        <v>0.69499999999999995</v>
      </c>
      <c r="C66" s="194">
        <v>0.66700000000000004</v>
      </c>
      <c r="D66" s="194">
        <v>36</v>
      </c>
      <c r="E66" s="194">
        <v>0.57799999999999996</v>
      </c>
      <c r="F66" s="194">
        <v>0.73899999999999999</v>
      </c>
      <c r="G66" s="194">
        <v>23</v>
      </c>
      <c r="H66" s="194">
        <v>0.56299999999999994</v>
      </c>
      <c r="I66" s="194">
        <v>0.41899999999999998</v>
      </c>
      <c r="J66" s="194">
        <v>43</v>
      </c>
      <c r="K66" s="194">
        <v>0.57299999999999995</v>
      </c>
      <c r="L66" s="194">
        <v>0.622</v>
      </c>
      <c r="M66" s="194">
        <v>37</v>
      </c>
      <c r="N66" s="194">
        <v>0.7</v>
      </c>
      <c r="O66" s="194">
        <v>0.78300000000000003</v>
      </c>
      <c r="P66" s="194">
        <v>23</v>
      </c>
      <c r="Q66" s="194">
        <v>0.753</v>
      </c>
      <c r="R66" s="194">
        <v>0.73299999999999998</v>
      </c>
      <c r="S66" s="194">
        <v>30</v>
      </c>
      <c r="T66" s="194">
        <v>0.74</v>
      </c>
      <c r="U66" s="194">
        <v>0.75</v>
      </c>
      <c r="V66" s="194">
        <v>20</v>
      </c>
      <c r="W66" s="194"/>
      <c r="X66" s="194"/>
      <c r="Y66" s="194"/>
      <c r="Z66" s="194"/>
      <c r="AA66" s="194"/>
      <c r="AB66" s="194"/>
      <c r="AC66" s="194"/>
      <c r="AD66" s="194"/>
      <c r="AE66" s="194"/>
      <c r="AF66" s="194"/>
      <c r="AG66" s="194"/>
      <c r="AH66" s="194"/>
      <c r="AI66" s="194"/>
      <c r="AJ66" s="194"/>
      <c r="AK66" s="194"/>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row>
    <row r="67" spans="1:61" x14ac:dyDescent="0.3">
      <c r="A67" s="193" t="s">
        <v>456</v>
      </c>
      <c r="B67" s="194">
        <v>0.64400000000000002</v>
      </c>
      <c r="C67" s="194">
        <v>0.70199999999999996</v>
      </c>
      <c r="D67" s="194">
        <v>47</v>
      </c>
      <c r="E67" s="194">
        <v>0.64300000000000002</v>
      </c>
      <c r="F67" s="194">
        <v>0.57499999999999996</v>
      </c>
      <c r="G67" s="194">
        <v>40</v>
      </c>
      <c r="H67" s="194">
        <v>0.65100000000000002</v>
      </c>
      <c r="I67" s="194">
        <v>0.64300000000000002</v>
      </c>
      <c r="J67" s="194">
        <v>42</v>
      </c>
      <c r="K67" s="194">
        <v>0.69399999999999995</v>
      </c>
      <c r="L67" s="194">
        <v>0.77800000000000002</v>
      </c>
      <c r="M67" s="194">
        <v>27</v>
      </c>
      <c r="N67" s="194">
        <v>0.70899999999999996</v>
      </c>
      <c r="O67" s="194">
        <v>0.69199999999999995</v>
      </c>
      <c r="P67" s="194">
        <v>39</v>
      </c>
      <c r="Q67" s="194">
        <v>0.63600000000000001</v>
      </c>
      <c r="R67" s="194">
        <v>0.67600000000000005</v>
      </c>
      <c r="S67" s="194">
        <v>37</v>
      </c>
      <c r="T67" s="194">
        <v>0.61</v>
      </c>
      <c r="U67" s="194">
        <v>0.55600000000000005</v>
      </c>
      <c r="V67" s="194">
        <v>45</v>
      </c>
      <c r="W67" s="194"/>
      <c r="X67" s="194"/>
      <c r="Y67" s="194"/>
      <c r="Z67" s="194"/>
      <c r="AA67" s="194"/>
      <c r="AB67" s="194"/>
      <c r="AC67" s="194"/>
      <c r="AD67" s="194"/>
      <c r="AE67" s="194"/>
      <c r="AF67" s="194"/>
      <c r="AG67" s="194"/>
      <c r="AH67" s="194"/>
      <c r="AI67" s="194"/>
      <c r="AJ67" s="194"/>
      <c r="AK67" s="194"/>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row>
    <row r="68" spans="1:61" x14ac:dyDescent="0.3">
      <c r="A68" s="193" t="s">
        <v>293</v>
      </c>
      <c r="B68" s="194">
        <v>0.52900000000000003</v>
      </c>
      <c r="C68" s="194">
        <v>0.66700000000000004</v>
      </c>
      <c r="D68" s="194">
        <v>6</v>
      </c>
      <c r="E68" s="194">
        <v>0.57099999999999995</v>
      </c>
      <c r="F68" s="194">
        <v>0.45500000000000002</v>
      </c>
      <c r="G68" s="194">
        <v>11</v>
      </c>
      <c r="H68" s="194">
        <v>0.44400000000000001</v>
      </c>
      <c r="I68" s="194">
        <v>0.75</v>
      </c>
      <c r="J68" s="194">
        <v>4</v>
      </c>
      <c r="K68" s="194">
        <v>0.53300000000000003</v>
      </c>
      <c r="L68" s="194">
        <v>0</v>
      </c>
      <c r="M68" s="194">
        <v>3</v>
      </c>
      <c r="N68" s="194">
        <v>0.63300000000000001</v>
      </c>
      <c r="O68" s="194">
        <v>0.625</v>
      </c>
      <c r="P68" s="194">
        <v>8</v>
      </c>
      <c r="Q68" s="194">
        <v>0.75600000000000001</v>
      </c>
      <c r="R68" s="194">
        <v>0.73699999999999999</v>
      </c>
      <c r="S68" s="194">
        <v>19</v>
      </c>
      <c r="T68" s="194">
        <v>0.78800000000000003</v>
      </c>
      <c r="U68" s="194">
        <v>0.85699999999999998</v>
      </c>
      <c r="V68" s="194">
        <v>14</v>
      </c>
      <c r="W68" s="194"/>
      <c r="X68" s="194"/>
      <c r="Y68" s="194"/>
      <c r="Z68" s="194"/>
      <c r="AA68" s="194"/>
      <c r="AB68" s="194"/>
      <c r="AC68" s="194"/>
      <c r="AD68" s="194"/>
      <c r="AE68" s="194"/>
      <c r="AF68" s="194"/>
      <c r="AG68" s="194"/>
      <c r="AH68" s="194"/>
      <c r="AI68" s="194"/>
      <c r="AJ68" s="194"/>
      <c r="AK68" s="194"/>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row>
    <row r="69" spans="1:61" x14ac:dyDescent="0.3">
      <c r="A69" s="193" t="s">
        <v>486</v>
      </c>
      <c r="B69" s="194">
        <v>0.8</v>
      </c>
      <c r="C69" s="194">
        <v>0.33300000000000002</v>
      </c>
      <c r="D69" s="194">
        <v>3</v>
      </c>
      <c r="E69" s="194">
        <v>0.75</v>
      </c>
      <c r="F69" s="194">
        <v>1</v>
      </c>
      <c r="G69" s="194">
        <v>7</v>
      </c>
      <c r="H69" s="194">
        <v>0.89500000000000002</v>
      </c>
      <c r="I69" s="194">
        <v>0.66700000000000004</v>
      </c>
      <c r="J69" s="194">
        <v>6</v>
      </c>
      <c r="K69" s="194">
        <v>0.75</v>
      </c>
      <c r="L69" s="194">
        <v>1</v>
      </c>
      <c r="M69" s="194">
        <v>6</v>
      </c>
      <c r="N69" s="194">
        <v>0.625</v>
      </c>
      <c r="O69" s="194">
        <v>0.5</v>
      </c>
      <c r="P69" s="194">
        <v>4</v>
      </c>
      <c r="Q69" s="194">
        <v>0.47099999999999997</v>
      </c>
      <c r="R69" s="194">
        <v>0.33300000000000002</v>
      </c>
      <c r="S69" s="194">
        <v>6</v>
      </c>
      <c r="T69" s="194">
        <v>0.46200000000000002</v>
      </c>
      <c r="U69" s="194">
        <v>0.57099999999999995</v>
      </c>
      <c r="V69" s="194">
        <v>7</v>
      </c>
      <c r="W69" s="194"/>
      <c r="X69" s="194"/>
      <c r="Y69" s="194"/>
      <c r="Z69" s="194"/>
      <c r="AA69" s="194"/>
      <c r="AB69" s="194"/>
      <c r="AC69" s="194"/>
      <c r="AD69" s="194"/>
      <c r="AE69" s="194"/>
      <c r="AF69" s="194"/>
      <c r="AG69" s="194"/>
      <c r="AH69" s="194"/>
      <c r="AI69" s="194"/>
      <c r="AJ69" s="194"/>
      <c r="AK69" s="194"/>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row>
    <row r="70" spans="1:61" x14ac:dyDescent="0.3">
      <c r="A70" s="193" t="s">
        <v>362</v>
      </c>
      <c r="B70" s="194">
        <v>0.76200000000000001</v>
      </c>
      <c r="C70" s="194">
        <v>0.8</v>
      </c>
      <c r="D70" s="194">
        <v>15</v>
      </c>
      <c r="E70" s="194">
        <v>0.73099999999999998</v>
      </c>
      <c r="F70" s="194">
        <v>0.66700000000000004</v>
      </c>
      <c r="G70" s="194">
        <v>6</v>
      </c>
      <c r="H70" s="194">
        <v>0.59099999999999997</v>
      </c>
      <c r="I70" s="194">
        <v>0.6</v>
      </c>
      <c r="J70" s="194">
        <v>5</v>
      </c>
      <c r="K70" s="194">
        <v>0.45500000000000002</v>
      </c>
      <c r="L70" s="194">
        <v>0.54500000000000004</v>
      </c>
      <c r="M70" s="194">
        <v>11</v>
      </c>
      <c r="N70" s="194">
        <v>0.35499999999999998</v>
      </c>
      <c r="O70" s="194">
        <v>0.16700000000000001</v>
      </c>
      <c r="P70" s="194">
        <v>6</v>
      </c>
      <c r="Q70" s="194">
        <v>0.32100000000000001</v>
      </c>
      <c r="R70" s="194">
        <v>0.28599999999999998</v>
      </c>
      <c r="S70" s="194">
        <v>14</v>
      </c>
      <c r="T70" s="194">
        <v>0.36399999999999999</v>
      </c>
      <c r="U70" s="194">
        <v>0.5</v>
      </c>
      <c r="V70" s="194">
        <v>8</v>
      </c>
      <c r="W70" s="194"/>
      <c r="X70" s="194"/>
      <c r="Y70" s="194"/>
      <c r="Z70" s="194"/>
      <c r="AA70" s="194"/>
      <c r="AB70" s="194"/>
      <c r="AC70" s="194"/>
      <c r="AD70" s="194"/>
      <c r="AE70" s="194"/>
      <c r="AF70" s="194"/>
      <c r="AG70" s="194"/>
      <c r="AH70" s="194"/>
      <c r="AI70" s="194"/>
      <c r="AJ70" s="194"/>
      <c r="AK70" s="194"/>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row>
    <row r="71" spans="1:61" x14ac:dyDescent="0.3">
      <c r="A71" s="193" t="s">
        <v>367</v>
      </c>
      <c r="B71" s="194">
        <v>0.625</v>
      </c>
      <c r="C71" s="194">
        <v>0.5</v>
      </c>
      <c r="D71" s="194">
        <v>20</v>
      </c>
      <c r="E71" s="194">
        <v>0.629</v>
      </c>
      <c r="F71" s="194">
        <v>0.71399999999999997</v>
      </c>
      <c r="G71" s="194">
        <v>28</v>
      </c>
      <c r="H71" s="194">
        <v>0.66700000000000004</v>
      </c>
      <c r="I71" s="194">
        <v>0.63600000000000001</v>
      </c>
      <c r="J71" s="194">
        <v>22</v>
      </c>
      <c r="K71" s="194">
        <v>0.59699999999999998</v>
      </c>
      <c r="L71" s="194">
        <v>0.64</v>
      </c>
      <c r="M71" s="194">
        <v>25</v>
      </c>
      <c r="N71" s="194">
        <v>0.63600000000000001</v>
      </c>
      <c r="O71" s="194">
        <v>0.5</v>
      </c>
      <c r="P71" s="194">
        <v>20</v>
      </c>
      <c r="Q71" s="194">
        <v>0.626</v>
      </c>
      <c r="R71" s="194">
        <v>0.71899999999999997</v>
      </c>
      <c r="S71" s="194">
        <v>32</v>
      </c>
      <c r="T71" s="194">
        <v>0.66200000000000003</v>
      </c>
      <c r="U71" s="194">
        <v>0.61499999999999999</v>
      </c>
      <c r="V71" s="194">
        <v>39</v>
      </c>
      <c r="W71" s="194"/>
      <c r="X71" s="194"/>
      <c r="Y71" s="194"/>
      <c r="Z71" s="194"/>
      <c r="AA71" s="194"/>
      <c r="AB71" s="194"/>
      <c r="AC71" s="194"/>
      <c r="AD71" s="194"/>
      <c r="AE71" s="194"/>
      <c r="AF71" s="194"/>
      <c r="AG71" s="194"/>
      <c r="AH71" s="194"/>
      <c r="AI71" s="194"/>
      <c r="AJ71" s="194"/>
      <c r="AK71" s="194"/>
      <c r="AL71" s="55"/>
      <c r="AM71" s="55"/>
      <c r="AN71" s="55"/>
      <c r="AO71" s="55"/>
      <c r="AP71" s="55"/>
      <c r="AQ71" s="55"/>
      <c r="AR71" s="55"/>
      <c r="AS71" s="55"/>
      <c r="AT71" s="55"/>
      <c r="AU71" s="55"/>
      <c r="AV71" s="55"/>
      <c r="AW71" s="55"/>
      <c r="AX71" s="55"/>
      <c r="AY71" s="55"/>
      <c r="AZ71" s="55"/>
      <c r="BA71" s="55"/>
      <c r="BB71" s="55"/>
      <c r="BC71" s="55"/>
      <c r="BD71" s="55"/>
      <c r="BE71" s="55"/>
      <c r="BF71" s="55"/>
      <c r="BG71" s="55"/>
      <c r="BH71" s="55"/>
      <c r="BI71" s="55"/>
    </row>
    <row r="72" spans="1:61" x14ac:dyDescent="0.3">
      <c r="A72" s="193" t="s">
        <v>327</v>
      </c>
      <c r="B72" s="194">
        <v>0.33300000000000002</v>
      </c>
      <c r="C72" s="194">
        <v>0.33300000000000002</v>
      </c>
      <c r="D72" s="194">
        <v>3</v>
      </c>
      <c r="E72" s="194">
        <v>0.44400000000000001</v>
      </c>
      <c r="F72" s="194">
        <v>0.33300000000000002</v>
      </c>
      <c r="G72" s="194">
        <v>18</v>
      </c>
      <c r="H72" s="194">
        <v>0.45500000000000002</v>
      </c>
      <c r="I72" s="194">
        <v>0.6</v>
      </c>
      <c r="J72" s="194">
        <v>15</v>
      </c>
      <c r="K72" s="194">
        <v>0.60499999999999998</v>
      </c>
      <c r="L72" s="194">
        <v>0.45500000000000002</v>
      </c>
      <c r="M72" s="194">
        <v>11</v>
      </c>
      <c r="N72" s="194">
        <v>0.625</v>
      </c>
      <c r="O72" s="194">
        <v>0.75</v>
      </c>
      <c r="P72" s="194">
        <v>12</v>
      </c>
      <c r="Q72" s="194">
        <v>0.69</v>
      </c>
      <c r="R72" s="194">
        <v>0.64700000000000002</v>
      </c>
      <c r="S72" s="194">
        <v>17</v>
      </c>
      <c r="T72" s="194">
        <v>0.66700000000000004</v>
      </c>
      <c r="U72" s="194">
        <v>0.69199999999999995</v>
      </c>
      <c r="V72" s="194">
        <v>13</v>
      </c>
      <c r="W72" s="194"/>
      <c r="X72" s="194"/>
      <c r="Y72" s="194"/>
      <c r="Z72" s="194"/>
      <c r="AA72" s="194"/>
      <c r="AB72" s="194"/>
      <c r="AC72" s="194"/>
      <c r="AD72" s="194"/>
      <c r="AE72" s="194"/>
      <c r="AF72" s="194"/>
      <c r="AG72" s="194"/>
      <c r="AH72" s="194"/>
      <c r="AI72" s="194"/>
      <c r="AJ72" s="194"/>
      <c r="AK72" s="194"/>
      <c r="AL72" s="55"/>
      <c r="AM72" s="55"/>
      <c r="AN72" s="55"/>
      <c r="AO72" s="55"/>
      <c r="AP72" s="55"/>
      <c r="AQ72" s="55"/>
      <c r="AR72" s="55"/>
      <c r="AS72" s="55"/>
      <c r="AT72" s="55"/>
      <c r="AU72" s="55"/>
      <c r="AV72" s="55"/>
      <c r="AW72" s="55"/>
      <c r="AX72" s="55"/>
      <c r="AY72" s="55"/>
      <c r="AZ72" s="55"/>
      <c r="BA72" s="55"/>
      <c r="BB72" s="55"/>
      <c r="BC72" s="55"/>
      <c r="BD72" s="55"/>
      <c r="BE72" s="55"/>
      <c r="BF72" s="55"/>
      <c r="BG72" s="55"/>
      <c r="BH72" s="55"/>
      <c r="BI72" s="55"/>
    </row>
    <row r="73" spans="1:61" x14ac:dyDescent="0.3">
      <c r="A73" s="193" t="s">
        <v>492</v>
      </c>
      <c r="B73" s="194">
        <v>0.58299999999999996</v>
      </c>
      <c r="C73" s="194">
        <v>0.61499999999999999</v>
      </c>
      <c r="D73" s="194">
        <v>13</v>
      </c>
      <c r="E73" s="194">
        <v>0.61499999999999999</v>
      </c>
      <c r="F73" s="194">
        <v>0.54500000000000004</v>
      </c>
      <c r="G73" s="194">
        <v>11</v>
      </c>
      <c r="H73" s="194">
        <v>0.55800000000000005</v>
      </c>
      <c r="I73" s="194">
        <v>0.66700000000000004</v>
      </c>
      <c r="J73" s="194">
        <v>15</v>
      </c>
      <c r="K73" s="194">
        <v>0.58699999999999997</v>
      </c>
      <c r="L73" s="194">
        <v>0.5</v>
      </c>
      <c r="M73" s="194">
        <v>26</v>
      </c>
      <c r="N73" s="194">
        <v>0.63200000000000001</v>
      </c>
      <c r="O73" s="194">
        <v>0.63600000000000001</v>
      </c>
      <c r="P73" s="194">
        <v>22</v>
      </c>
      <c r="Q73" s="194">
        <v>0.70599999999999996</v>
      </c>
      <c r="R73" s="194">
        <v>0.75</v>
      </c>
      <c r="S73" s="194">
        <v>28</v>
      </c>
      <c r="T73" s="194">
        <v>0.73899999999999999</v>
      </c>
      <c r="U73" s="194">
        <v>0.72199999999999998</v>
      </c>
      <c r="V73" s="194">
        <v>18</v>
      </c>
      <c r="W73" s="194"/>
      <c r="X73" s="194"/>
      <c r="Y73" s="194"/>
      <c r="Z73" s="194"/>
      <c r="AA73" s="194"/>
      <c r="AB73" s="194"/>
      <c r="AC73" s="194"/>
      <c r="AD73" s="194"/>
      <c r="AE73" s="194"/>
      <c r="AF73" s="194"/>
      <c r="AG73" s="194"/>
      <c r="AH73" s="194"/>
      <c r="AI73" s="194"/>
      <c r="AJ73" s="194"/>
      <c r="AK73" s="194"/>
      <c r="AL73" s="55"/>
      <c r="AM73" s="55"/>
      <c r="AN73" s="55"/>
      <c r="AO73" s="55"/>
      <c r="AP73" s="55"/>
      <c r="AQ73" s="55"/>
      <c r="AR73" s="55"/>
      <c r="AS73" s="55"/>
      <c r="AT73" s="55"/>
      <c r="AU73" s="55"/>
      <c r="AV73" s="55"/>
      <c r="AW73" s="55"/>
      <c r="AX73" s="55"/>
      <c r="AY73" s="55"/>
      <c r="AZ73" s="55"/>
      <c r="BA73" s="55"/>
      <c r="BB73" s="55"/>
      <c r="BC73" s="55"/>
      <c r="BD73" s="55"/>
      <c r="BE73" s="55"/>
      <c r="BF73" s="55"/>
      <c r="BG73" s="55"/>
      <c r="BH73" s="55"/>
      <c r="BI73" s="55"/>
    </row>
    <row r="74" spans="1:61" x14ac:dyDescent="0.3">
      <c r="A74" s="193" t="s">
        <v>418</v>
      </c>
      <c r="B74" s="194">
        <v>0.52600000000000002</v>
      </c>
      <c r="C74" s="194">
        <v>0.54500000000000004</v>
      </c>
      <c r="D74" s="194">
        <v>11</v>
      </c>
      <c r="E74" s="194">
        <v>0.379</v>
      </c>
      <c r="F74" s="194">
        <v>0.5</v>
      </c>
      <c r="G74" s="194">
        <v>8</v>
      </c>
      <c r="H74" s="194">
        <v>0.32300000000000001</v>
      </c>
      <c r="I74" s="194">
        <v>0.1</v>
      </c>
      <c r="J74" s="194">
        <v>10</v>
      </c>
      <c r="K74" s="194">
        <v>0.25800000000000001</v>
      </c>
      <c r="L74" s="194">
        <v>0.38500000000000001</v>
      </c>
      <c r="M74" s="194">
        <v>13</v>
      </c>
      <c r="N74" s="194">
        <v>0.33300000000000002</v>
      </c>
      <c r="O74" s="194">
        <v>0.25</v>
      </c>
      <c r="P74" s="194">
        <v>8</v>
      </c>
      <c r="Q74" s="194">
        <v>0.32</v>
      </c>
      <c r="R74" s="194">
        <v>0.33300000000000002</v>
      </c>
      <c r="S74" s="194">
        <v>9</v>
      </c>
      <c r="T74" s="194">
        <v>0.35299999999999998</v>
      </c>
      <c r="U74" s="194">
        <v>0.375</v>
      </c>
      <c r="V74" s="194">
        <v>8</v>
      </c>
      <c r="W74" s="194"/>
      <c r="X74" s="194"/>
      <c r="Y74" s="194"/>
      <c r="Z74" s="194"/>
      <c r="AA74" s="194"/>
      <c r="AB74" s="194"/>
      <c r="AC74" s="194"/>
      <c r="AD74" s="194"/>
      <c r="AE74" s="194"/>
      <c r="AF74" s="194"/>
      <c r="AG74" s="194"/>
      <c r="AH74" s="194"/>
      <c r="AI74" s="194"/>
      <c r="AJ74" s="194"/>
      <c r="AK74" s="194"/>
      <c r="AL74" s="55"/>
      <c r="AM74" s="55"/>
      <c r="AN74" s="55"/>
      <c r="AO74" s="55"/>
      <c r="AP74" s="55"/>
      <c r="AQ74" s="55"/>
      <c r="AR74" s="55"/>
      <c r="AS74" s="55"/>
      <c r="AT74" s="55"/>
      <c r="AU74" s="55"/>
      <c r="AV74" s="55"/>
      <c r="AW74" s="55"/>
      <c r="AX74" s="55"/>
      <c r="AY74" s="55"/>
      <c r="AZ74" s="55"/>
      <c r="BA74" s="55"/>
      <c r="BB74" s="55"/>
      <c r="BC74" s="55"/>
      <c r="BD74" s="55"/>
      <c r="BE74" s="55"/>
      <c r="BF74" s="55"/>
      <c r="BG74" s="55"/>
      <c r="BH74" s="55"/>
      <c r="BI74" s="55"/>
    </row>
    <row r="75" spans="1:61" x14ac:dyDescent="0.3">
      <c r="A75" s="193" t="s">
        <v>382</v>
      </c>
      <c r="B75" s="194">
        <v>0.17599999999999999</v>
      </c>
      <c r="C75" s="194">
        <v>0.125</v>
      </c>
      <c r="D75" s="194">
        <v>8</v>
      </c>
      <c r="E75" s="194">
        <v>0.16</v>
      </c>
      <c r="F75" s="194">
        <v>0.222</v>
      </c>
      <c r="G75" s="194">
        <v>9</v>
      </c>
      <c r="H75" s="194">
        <v>0.25</v>
      </c>
      <c r="I75" s="194">
        <v>0.125</v>
      </c>
      <c r="J75" s="194">
        <v>8</v>
      </c>
      <c r="K75" s="194">
        <v>0.33300000000000002</v>
      </c>
      <c r="L75" s="194">
        <v>0.42899999999999999</v>
      </c>
      <c r="M75" s="194">
        <v>7</v>
      </c>
      <c r="N75" s="194">
        <v>0.41899999999999998</v>
      </c>
      <c r="O75" s="194">
        <v>0.4</v>
      </c>
      <c r="P75" s="194">
        <v>15</v>
      </c>
      <c r="Q75" s="194">
        <v>0.4</v>
      </c>
      <c r="R75" s="194">
        <v>0.44400000000000001</v>
      </c>
      <c r="S75" s="194">
        <v>9</v>
      </c>
      <c r="T75" s="194">
        <v>0.4</v>
      </c>
      <c r="U75" s="194">
        <v>0.33300000000000002</v>
      </c>
      <c r="V75" s="194">
        <v>6</v>
      </c>
      <c r="W75" s="194"/>
      <c r="X75" s="194"/>
      <c r="Y75" s="194"/>
      <c r="Z75" s="194"/>
      <c r="AA75" s="194"/>
      <c r="AB75" s="194"/>
      <c r="AC75" s="194"/>
      <c r="AD75" s="194"/>
      <c r="AE75" s="194"/>
      <c r="AF75" s="194"/>
      <c r="AG75" s="194"/>
      <c r="AH75" s="194"/>
      <c r="AI75" s="194"/>
      <c r="AJ75" s="194"/>
      <c r="AK75" s="194"/>
      <c r="AL75" s="55"/>
      <c r="AM75" s="55"/>
      <c r="AN75" s="55"/>
      <c r="AO75" s="55"/>
      <c r="AP75" s="55"/>
      <c r="AQ75" s="55"/>
      <c r="AR75" s="55"/>
      <c r="AS75" s="55"/>
      <c r="AT75" s="55"/>
      <c r="AU75" s="55"/>
      <c r="AV75" s="55"/>
      <c r="AW75" s="55"/>
      <c r="AX75" s="55"/>
      <c r="AY75" s="55"/>
      <c r="AZ75" s="55"/>
      <c r="BA75" s="55"/>
      <c r="BB75" s="55"/>
      <c r="BC75" s="55"/>
      <c r="BD75" s="55"/>
      <c r="BE75" s="55"/>
      <c r="BF75" s="55"/>
      <c r="BG75" s="55"/>
      <c r="BH75" s="55"/>
      <c r="BI75" s="55"/>
    </row>
    <row r="76" spans="1:61" x14ac:dyDescent="0.3">
      <c r="A76" s="193" t="s">
        <v>427</v>
      </c>
      <c r="B76" s="194">
        <v>0.29599999999999999</v>
      </c>
      <c r="C76" s="194">
        <v>0.27300000000000002</v>
      </c>
      <c r="D76" s="194">
        <v>11</v>
      </c>
      <c r="E76" s="194">
        <v>0.32400000000000001</v>
      </c>
      <c r="F76" s="194">
        <v>0.313</v>
      </c>
      <c r="G76" s="194">
        <v>16</v>
      </c>
      <c r="H76" s="194">
        <v>0.432</v>
      </c>
      <c r="I76" s="194">
        <v>0.4</v>
      </c>
      <c r="J76" s="194">
        <v>10</v>
      </c>
      <c r="K76" s="194">
        <v>0.58499999999999996</v>
      </c>
      <c r="L76" s="194">
        <v>0.55600000000000005</v>
      </c>
      <c r="M76" s="194">
        <v>18</v>
      </c>
      <c r="N76" s="194">
        <v>0.622</v>
      </c>
      <c r="O76" s="194">
        <v>0.76900000000000002</v>
      </c>
      <c r="P76" s="194">
        <v>13</v>
      </c>
      <c r="Q76" s="194">
        <v>0.54500000000000004</v>
      </c>
      <c r="R76" s="194">
        <v>0.57099999999999995</v>
      </c>
      <c r="S76" s="194">
        <v>14</v>
      </c>
      <c r="T76" s="194">
        <v>0.4</v>
      </c>
      <c r="U76" s="194">
        <v>0</v>
      </c>
      <c r="V76" s="194">
        <v>6</v>
      </c>
      <c r="W76" s="194"/>
      <c r="X76" s="194"/>
      <c r="Y76" s="194"/>
      <c r="Z76" s="194"/>
      <c r="AA76" s="194"/>
      <c r="AB76" s="194"/>
      <c r="AC76" s="194"/>
      <c r="AD76" s="194"/>
      <c r="AE76" s="194"/>
      <c r="AF76" s="194"/>
      <c r="AG76" s="194"/>
      <c r="AH76" s="194"/>
      <c r="AI76" s="194"/>
      <c r="AJ76" s="194"/>
      <c r="AK76" s="194"/>
      <c r="AL76" s="55"/>
      <c r="AM76" s="55"/>
      <c r="AN76" s="55"/>
      <c r="AO76" s="55"/>
      <c r="AP76" s="55"/>
      <c r="AQ76" s="55"/>
      <c r="AR76" s="55"/>
      <c r="AS76" s="55"/>
      <c r="AT76" s="55"/>
      <c r="AU76" s="55"/>
      <c r="AV76" s="55"/>
      <c r="AW76" s="55"/>
      <c r="AX76" s="55"/>
      <c r="AY76" s="55"/>
      <c r="AZ76" s="55"/>
      <c r="BA76" s="55"/>
      <c r="BB76" s="55"/>
      <c r="BC76" s="55"/>
      <c r="BD76" s="55"/>
      <c r="BE76" s="55"/>
      <c r="BF76" s="55"/>
      <c r="BG76" s="55"/>
      <c r="BH76" s="55"/>
      <c r="BI76" s="55"/>
    </row>
    <row r="77" spans="1:61" x14ac:dyDescent="0.3">
      <c r="A77" s="193" t="s">
        <v>458</v>
      </c>
      <c r="B77" s="194">
        <v>0.68799999999999994</v>
      </c>
      <c r="C77" s="194">
        <v>0.875</v>
      </c>
      <c r="D77" s="194">
        <v>8</v>
      </c>
      <c r="E77" s="194">
        <v>0.75</v>
      </c>
      <c r="F77" s="194">
        <v>0.5</v>
      </c>
      <c r="G77" s="194">
        <v>8</v>
      </c>
      <c r="H77" s="194">
        <v>0.63</v>
      </c>
      <c r="I77" s="194">
        <v>0.875</v>
      </c>
      <c r="J77" s="194">
        <v>8</v>
      </c>
      <c r="K77" s="194">
        <v>0.70399999999999996</v>
      </c>
      <c r="L77" s="194">
        <v>0.54500000000000004</v>
      </c>
      <c r="M77" s="194">
        <v>11</v>
      </c>
      <c r="N77" s="194">
        <v>0.67900000000000005</v>
      </c>
      <c r="O77" s="194">
        <v>0.75</v>
      </c>
      <c r="P77" s="194">
        <v>8</v>
      </c>
      <c r="Q77" s="194">
        <v>0.76900000000000002</v>
      </c>
      <c r="R77" s="194">
        <v>0.77800000000000002</v>
      </c>
      <c r="S77" s="194">
        <v>9</v>
      </c>
      <c r="T77" s="194">
        <v>0.77800000000000002</v>
      </c>
      <c r="U77" s="194">
        <v>0.77800000000000002</v>
      </c>
      <c r="V77" s="194">
        <v>9</v>
      </c>
      <c r="W77" s="194"/>
      <c r="X77" s="194"/>
      <c r="Y77" s="194"/>
      <c r="Z77" s="194"/>
      <c r="AA77" s="194"/>
      <c r="AB77" s="194"/>
      <c r="AC77" s="194"/>
      <c r="AD77" s="194"/>
      <c r="AE77" s="194"/>
      <c r="AF77" s="194"/>
      <c r="AG77" s="194"/>
      <c r="AH77" s="194"/>
      <c r="AI77" s="194"/>
      <c r="AJ77" s="194"/>
      <c r="AK77" s="194"/>
      <c r="AL77" s="55"/>
      <c r="AM77" s="55"/>
      <c r="AN77" s="55"/>
      <c r="AO77" s="55"/>
      <c r="AP77" s="55"/>
      <c r="AQ77" s="55"/>
      <c r="AR77" s="55"/>
      <c r="AS77" s="55"/>
      <c r="AT77" s="55"/>
      <c r="AU77" s="55"/>
      <c r="AV77" s="55"/>
      <c r="AW77" s="55"/>
      <c r="AX77" s="55"/>
      <c r="AY77" s="55"/>
      <c r="AZ77" s="55"/>
      <c r="BA77" s="55"/>
      <c r="BB77" s="55"/>
      <c r="BC77" s="55"/>
      <c r="BD77" s="55"/>
      <c r="BE77" s="55"/>
      <c r="BF77" s="55"/>
      <c r="BG77" s="55"/>
      <c r="BH77" s="55"/>
      <c r="BI77" s="55"/>
    </row>
    <row r="78" spans="1:61" x14ac:dyDescent="0.3">
      <c r="A78" s="193" t="s">
        <v>330</v>
      </c>
      <c r="B78" s="194">
        <v>0.87</v>
      </c>
      <c r="C78" s="194">
        <v>0.83299999999999996</v>
      </c>
      <c r="D78" s="194">
        <v>24</v>
      </c>
      <c r="E78" s="194">
        <v>0.67100000000000004</v>
      </c>
      <c r="F78" s="194">
        <v>0.90900000000000003</v>
      </c>
      <c r="G78" s="194">
        <v>22</v>
      </c>
      <c r="H78" s="194">
        <v>0.60599999999999998</v>
      </c>
      <c r="I78" s="194">
        <v>0.33300000000000002</v>
      </c>
      <c r="J78" s="194">
        <v>27</v>
      </c>
      <c r="K78" s="194">
        <v>0.44600000000000001</v>
      </c>
      <c r="L78" s="194">
        <v>0.64700000000000002</v>
      </c>
      <c r="M78" s="194">
        <v>17</v>
      </c>
      <c r="N78" s="194">
        <v>0.57399999999999995</v>
      </c>
      <c r="O78" s="194">
        <v>0.41699999999999998</v>
      </c>
      <c r="P78" s="194">
        <v>12</v>
      </c>
      <c r="Q78" s="194">
        <v>0.55100000000000005</v>
      </c>
      <c r="R78" s="194">
        <v>0.61099999999999999</v>
      </c>
      <c r="S78" s="194">
        <v>18</v>
      </c>
      <c r="T78" s="194">
        <v>0.59499999999999997</v>
      </c>
      <c r="U78" s="194">
        <v>0.57899999999999996</v>
      </c>
      <c r="V78" s="194">
        <v>19</v>
      </c>
      <c r="W78" s="194"/>
      <c r="X78" s="194"/>
      <c r="Y78" s="194"/>
      <c r="Z78" s="194"/>
      <c r="AA78" s="194"/>
      <c r="AB78" s="194"/>
      <c r="AC78" s="194"/>
      <c r="AD78" s="194"/>
      <c r="AE78" s="194"/>
      <c r="AF78" s="194"/>
      <c r="AG78" s="194"/>
      <c r="AH78" s="194"/>
      <c r="AI78" s="194"/>
      <c r="AJ78" s="194"/>
      <c r="AK78" s="194"/>
      <c r="AL78" s="55"/>
      <c r="AM78" s="55"/>
      <c r="AN78" s="55"/>
      <c r="AO78" s="55"/>
      <c r="AP78" s="55"/>
      <c r="AQ78" s="55"/>
      <c r="AR78" s="55"/>
      <c r="AS78" s="55"/>
      <c r="AT78" s="55"/>
      <c r="AU78" s="55"/>
      <c r="AV78" s="55"/>
      <c r="AW78" s="55"/>
      <c r="AX78" s="55"/>
      <c r="AY78" s="55"/>
      <c r="AZ78" s="55"/>
      <c r="BA78" s="55"/>
      <c r="BB78" s="55"/>
      <c r="BC78" s="55"/>
      <c r="BD78" s="55"/>
      <c r="BE78" s="55"/>
      <c r="BF78" s="55"/>
      <c r="BG78" s="55"/>
      <c r="BH78" s="55"/>
      <c r="BI78" s="55"/>
    </row>
    <row r="79" spans="1:61" x14ac:dyDescent="0.3">
      <c r="A79" s="193" t="s">
        <v>404</v>
      </c>
      <c r="B79" s="194">
        <v>0.41699999999999998</v>
      </c>
      <c r="C79" s="194">
        <v>0.5</v>
      </c>
      <c r="D79" s="194">
        <v>10</v>
      </c>
      <c r="E79" s="194">
        <v>0.41899999999999998</v>
      </c>
      <c r="F79" s="194">
        <v>0.35699999999999998</v>
      </c>
      <c r="G79" s="194">
        <v>14</v>
      </c>
      <c r="H79" s="194">
        <v>0.59299999999999997</v>
      </c>
      <c r="I79" s="194">
        <v>0.42099999999999999</v>
      </c>
      <c r="J79" s="194">
        <v>19</v>
      </c>
      <c r="K79" s="194">
        <v>0.70699999999999996</v>
      </c>
      <c r="L79" s="194">
        <v>0.90500000000000003</v>
      </c>
      <c r="M79" s="194">
        <v>21</v>
      </c>
      <c r="N79" s="194">
        <v>0.80400000000000005</v>
      </c>
      <c r="O79" s="194">
        <v>0.77800000000000002</v>
      </c>
      <c r="P79" s="194">
        <v>18</v>
      </c>
      <c r="Q79" s="194">
        <v>0.69199999999999995</v>
      </c>
      <c r="R79" s="194">
        <v>0.66700000000000004</v>
      </c>
      <c r="S79" s="194">
        <v>12</v>
      </c>
      <c r="T79" s="194">
        <v>0.64700000000000002</v>
      </c>
      <c r="U79" s="194">
        <v>0.63600000000000001</v>
      </c>
      <c r="V79" s="194">
        <v>22</v>
      </c>
      <c r="W79" s="194"/>
      <c r="X79" s="194"/>
      <c r="Y79" s="194"/>
      <c r="Z79" s="194"/>
      <c r="AA79" s="194"/>
      <c r="AB79" s="194"/>
      <c r="AC79" s="194"/>
      <c r="AD79" s="194"/>
      <c r="AE79" s="194"/>
      <c r="AF79" s="194"/>
      <c r="AG79" s="194"/>
      <c r="AH79" s="194"/>
      <c r="AI79" s="194"/>
      <c r="AJ79" s="194"/>
      <c r="AK79" s="194"/>
      <c r="AL79" s="55"/>
      <c r="AM79" s="55"/>
      <c r="AN79" s="55"/>
      <c r="AO79" s="55"/>
      <c r="AP79" s="55"/>
      <c r="AQ79" s="55"/>
      <c r="AR79" s="55"/>
      <c r="AS79" s="55"/>
      <c r="AT79" s="55"/>
      <c r="AU79" s="55"/>
      <c r="AV79" s="55"/>
      <c r="AW79" s="55"/>
      <c r="AX79" s="55"/>
      <c r="AY79" s="55"/>
      <c r="AZ79" s="55"/>
      <c r="BA79" s="55"/>
      <c r="BB79" s="55"/>
      <c r="BC79" s="55"/>
      <c r="BD79" s="55"/>
      <c r="BE79" s="55"/>
      <c r="BF79" s="55"/>
      <c r="BG79" s="55"/>
      <c r="BH79" s="55"/>
      <c r="BI79" s="55"/>
    </row>
    <row r="80" spans="1:61" x14ac:dyDescent="0.3">
      <c r="A80" s="193" t="s">
        <v>504</v>
      </c>
      <c r="B80" s="194">
        <v>0.44400000000000001</v>
      </c>
      <c r="C80" s="194">
        <v>0.375</v>
      </c>
      <c r="D80" s="194">
        <v>8</v>
      </c>
      <c r="E80" s="194">
        <v>0.40600000000000003</v>
      </c>
      <c r="F80" s="194">
        <v>0.5</v>
      </c>
      <c r="G80" s="194">
        <v>10</v>
      </c>
      <c r="H80" s="194">
        <v>0.35299999999999998</v>
      </c>
      <c r="I80" s="194">
        <v>0.35699999999999998</v>
      </c>
      <c r="J80" s="194">
        <v>14</v>
      </c>
      <c r="K80" s="194">
        <v>0.26700000000000002</v>
      </c>
      <c r="L80" s="194">
        <v>0.2</v>
      </c>
      <c r="M80" s="194">
        <v>10</v>
      </c>
      <c r="N80" s="194">
        <v>0.2</v>
      </c>
      <c r="O80" s="194">
        <v>0.16700000000000001</v>
      </c>
      <c r="P80" s="194">
        <v>6</v>
      </c>
      <c r="Q80" s="194">
        <v>0.28599999999999998</v>
      </c>
      <c r="R80" s="194">
        <v>0.222</v>
      </c>
      <c r="S80" s="194">
        <v>9</v>
      </c>
      <c r="T80" s="194">
        <v>0.33300000000000002</v>
      </c>
      <c r="U80" s="194">
        <v>0.5</v>
      </c>
      <c r="V80" s="194">
        <v>6</v>
      </c>
      <c r="W80" s="194"/>
      <c r="X80" s="194"/>
      <c r="Y80" s="194"/>
      <c r="Z80" s="194"/>
      <c r="AA80" s="194"/>
      <c r="AB80" s="194"/>
      <c r="AC80" s="194"/>
      <c r="AD80" s="194"/>
      <c r="AE80" s="194"/>
      <c r="AF80" s="194"/>
      <c r="AG80" s="194"/>
      <c r="AH80" s="194"/>
      <c r="AI80" s="194"/>
      <c r="AJ80" s="194"/>
      <c r="AK80" s="194"/>
      <c r="AL80" s="55"/>
      <c r="AM80" s="55"/>
      <c r="AN80" s="55"/>
      <c r="AO80" s="55"/>
      <c r="AP80" s="55"/>
      <c r="AQ80" s="55"/>
      <c r="AR80" s="55"/>
      <c r="AS80" s="55"/>
      <c r="AT80" s="55"/>
      <c r="AU80" s="55"/>
      <c r="AV80" s="55"/>
      <c r="AW80" s="55"/>
      <c r="AX80" s="55"/>
      <c r="AY80" s="55"/>
      <c r="AZ80" s="55"/>
      <c r="BA80" s="55"/>
      <c r="BB80" s="55"/>
      <c r="BC80" s="55"/>
      <c r="BD80" s="55"/>
      <c r="BE80" s="55"/>
      <c r="BF80" s="55"/>
      <c r="BG80" s="55"/>
      <c r="BH80" s="55"/>
      <c r="BI80" s="55"/>
    </row>
    <row r="81" spans="1:61" x14ac:dyDescent="0.3">
      <c r="A81" s="193" t="s">
        <v>310</v>
      </c>
      <c r="B81" s="194">
        <v>0.55000000000000004</v>
      </c>
      <c r="C81" s="194">
        <v>0.58299999999999996</v>
      </c>
      <c r="D81" s="194">
        <v>12</v>
      </c>
      <c r="E81" s="194">
        <v>0.60699999999999998</v>
      </c>
      <c r="F81" s="194">
        <v>0.5</v>
      </c>
      <c r="G81" s="194">
        <v>8</v>
      </c>
      <c r="H81" s="194">
        <v>0.59099999999999997</v>
      </c>
      <c r="I81" s="194">
        <v>0.75</v>
      </c>
      <c r="J81" s="194">
        <v>8</v>
      </c>
      <c r="K81" s="194">
        <v>0.72</v>
      </c>
      <c r="L81" s="194">
        <v>0.5</v>
      </c>
      <c r="M81" s="194">
        <v>6</v>
      </c>
      <c r="N81" s="194">
        <v>0.70399999999999996</v>
      </c>
      <c r="O81" s="194">
        <v>0.81799999999999995</v>
      </c>
      <c r="P81" s="194">
        <v>11</v>
      </c>
      <c r="Q81" s="194">
        <v>0.74199999999999999</v>
      </c>
      <c r="R81" s="194">
        <v>0.7</v>
      </c>
      <c r="S81" s="194">
        <v>10</v>
      </c>
      <c r="T81" s="194">
        <v>0.7</v>
      </c>
      <c r="U81" s="194">
        <v>0.7</v>
      </c>
      <c r="V81" s="194">
        <v>10</v>
      </c>
      <c r="W81" s="194"/>
      <c r="X81" s="194"/>
      <c r="Y81" s="194"/>
      <c r="Z81" s="194"/>
      <c r="AA81" s="194"/>
      <c r="AB81" s="194"/>
      <c r="AC81" s="194"/>
      <c r="AD81" s="194"/>
      <c r="AE81" s="194"/>
      <c r="AF81" s="194"/>
      <c r="AG81" s="194"/>
      <c r="AH81" s="194"/>
      <c r="AI81" s="194"/>
      <c r="AJ81" s="194"/>
      <c r="AK81" s="194"/>
      <c r="AL81" s="55"/>
      <c r="AM81" s="55"/>
      <c r="AN81" s="55"/>
      <c r="AO81" s="55"/>
      <c r="AP81" s="55"/>
      <c r="AQ81" s="55"/>
      <c r="AR81" s="55"/>
      <c r="AS81" s="55"/>
      <c r="AT81" s="55"/>
      <c r="AU81" s="55"/>
      <c r="AV81" s="55"/>
      <c r="AW81" s="55"/>
      <c r="AX81" s="55"/>
      <c r="AY81" s="55"/>
      <c r="AZ81" s="55"/>
      <c r="BA81" s="55"/>
      <c r="BB81" s="55"/>
      <c r="BC81" s="55"/>
      <c r="BD81" s="55"/>
      <c r="BE81" s="55"/>
      <c r="BF81" s="55"/>
      <c r="BG81" s="55"/>
      <c r="BH81" s="55"/>
      <c r="BI81" s="55"/>
    </row>
    <row r="82" spans="1:61" x14ac:dyDescent="0.3">
      <c r="A82" s="193" t="s">
        <v>498</v>
      </c>
      <c r="B82" s="194">
        <v>0</v>
      </c>
      <c r="C82" s="194">
        <v>0</v>
      </c>
      <c r="D82" s="194">
        <v>2</v>
      </c>
      <c r="E82" s="194">
        <v>0.2</v>
      </c>
      <c r="F82" s="194">
        <v>0</v>
      </c>
      <c r="G82" s="194">
        <v>2</v>
      </c>
      <c r="H82" s="194">
        <v>0.2</v>
      </c>
      <c r="I82" s="194">
        <v>1</v>
      </c>
      <c r="J82" s="194">
        <v>1</v>
      </c>
      <c r="K82" s="194">
        <v>0.33300000000000002</v>
      </c>
      <c r="L82" s="194">
        <v>0</v>
      </c>
      <c r="M82" s="194">
        <v>2</v>
      </c>
      <c r="N82" s="194">
        <v>0.16700000000000001</v>
      </c>
      <c r="O82" s="194">
        <v>0.33300000000000002</v>
      </c>
      <c r="P82" s="194">
        <v>3</v>
      </c>
      <c r="Q82" s="194">
        <v>0.2</v>
      </c>
      <c r="R82" s="194">
        <v>0</v>
      </c>
      <c r="S82" s="194">
        <v>1</v>
      </c>
      <c r="T82" s="194">
        <v>0</v>
      </c>
      <c r="U82" s="194">
        <v>0</v>
      </c>
      <c r="V82" s="194">
        <v>1</v>
      </c>
      <c r="W82" s="194"/>
      <c r="X82" s="194"/>
      <c r="Y82" s="194"/>
      <c r="Z82" s="194"/>
      <c r="AA82" s="194"/>
      <c r="AB82" s="194"/>
      <c r="AC82" s="194"/>
      <c r="AD82" s="194"/>
      <c r="AE82" s="194"/>
      <c r="AF82" s="194"/>
      <c r="AG82" s="194"/>
      <c r="AH82" s="194"/>
      <c r="AI82" s="194"/>
      <c r="AJ82" s="194"/>
      <c r="AK82" s="194"/>
      <c r="AL82" s="55"/>
      <c r="AM82" s="55"/>
      <c r="AN82" s="55"/>
      <c r="AO82" s="55"/>
      <c r="AP82" s="55"/>
      <c r="AQ82" s="55"/>
      <c r="AR82" s="55"/>
      <c r="AS82" s="55"/>
      <c r="AT82" s="55"/>
      <c r="AU82" s="55"/>
      <c r="AV82" s="55"/>
      <c r="AW82" s="55"/>
      <c r="AX82" s="55"/>
      <c r="AY82" s="55"/>
      <c r="AZ82" s="55"/>
      <c r="BA82" s="55"/>
      <c r="BB82" s="55"/>
      <c r="BC82" s="55"/>
      <c r="BD82" s="55"/>
      <c r="BE82" s="55"/>
      <c r="BF82" s="55"/>
      <c r="BG82" s="55"/>
      <c r="BH82" s="55"/>
      <c r="BI82" s="55"/>
    </row>
    <row r="83" spans="1:61" x14ac:dyDescent="0.3">
      <c r="A83" s="193" t="s">
        <v>372</v>
      </c>
      <c r="B83" s="194">
        <v>0.4</v>
      </c>
      <c r="C83" s="194">
        <v>0.33300000000000002</v>
      </c>
      <c r="D83" s="194">
        <v>3</v>
      </c>
      <c r="E83" s="194">
        <v>0.33300000000000002</v>
      </c>
      <c r="F83" s="194">
        <v>0.5</v>
      </c>
      <c r="G83" s="194">
        <v>2</v>
      </c>
      <c r="H83" s="194">
        <v>0.45500000000000002</v>
      </c>
      <c r="I83" s="194">
        <v>0.25</v>
      </c>
      <c r="J83" s="194">
        <v>4</v>
      </c>
      <c r="K83" s="194">
        <v>0.438</v>
      </c>
      <c r="L83" s="194">
        <v>0.6</v>
      </c>
      <c r="M83" s="194">
        <v>5</v>
      </c>
      <c r="N83" s="194">
        <v>0.33300000000000002</v>
      </c>
      <c r="O83" s="194">
        <v>0.42899999999999999</v>
      </c>
      <c r="P83" s="194">
        <v>7</v>
      </c>
      <c r="Q83" s="194">
        <v>0.182</v>
      </c>
      <c r="R83" s="194">
        <v>0</v>
      </c>
      <c r="S83" s="194">
        <v>6</v>
      </c>
      <c r="T83" s="194">
        <v>6.7000000000000004E-2</v>
      </c>
      <c r="U83" s="194">
        <v>0.111</v>
      </c>
      <c r="V83" s="194">
        <v>9</v>
      </c>
      <c r="W83" s="194"/>
      <c r="X83" s="194"/>
      <c r="Y83" s="194"/>
      <c r="Z83" s="194"/>
      <c r="AA83" s="194"/>
      <c r="AB83" s="194"/>
      <c r="AC83" s="194"/>
      <c r="AD83" s="194"/>
      <c r="AE83" s="194"/>
      <c r="AF83" s="194"/>
      <c r="AG83" s="194"/>
      <c r="AH83" s="194"/>
      <c r="AI83" s="194"/>
      <c r="AJ83" s="194"/>
      <c r="AK83" s="194"/>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row>
    <row r="84" spans="1:61" x14ac:dyDescent="0.3">
      <c r="A84" s="193" t="s">
        <v>354</v>
      </c>
      <c r="B84" s="194">
        <v>0.6</v>
      </c>
      <c r="C84" s="194">
        <v>0.5</v>
      </c>
      <c r="D84" s="194">
        <v>4</v>
      </c>
      <c r="E84" s="194">
        <v>0.33300000000000002</v>
      </c>
      <c r="F84" s="194">
        <v>1</v>
      </c>
      <c r="G84" s="194">
        <v>1</v>
      </c>
      <c r="H84" s="194">
        <v>0.438</v>
      </c>
      <c r="I84" s="194">
        <v>0.14299999999999999</v>
      </c>
      <c r="J84" s="194">
        <v>7</v>
      </c>
      <c r="K84" s="194">
        <v>0.44400000000000001</v>
      </c>
      <c r="L84" s="194">
        <v>0.625</v>
      </c>
      <c r="M84" s="194">
        <v>8</v>
      </c>
      <c r="N84" s="194">
        <v>0.69199999999999995</v>
      </c>
      <c r="O84" s="194">
        <v>0.66700000000000004</v>
      </c>
      <c r="P84" s="194">
        <v>3</v>
      </c>
      <c r="Q84" s="194">
        <v>0.57099999999999995</v>
      </c>
      <c r="R84" s="194">
        <v>1</v>
      </c>
      <c r="S84" s="194">
        <v>2</v>
      </c>
      <c r="T84" s="194">
        <v>0.54500000000000004</v>
      </c>
      <c r="U84" s="194">
        <v>0.44400000000000001</v>
      </c>
      <c r="V84" s="194">
        <v>9</v>
      </c>
      <c r="W84" s="194"/>
      <c r="X84" s="194"/>
      <c r="Y84" s="194"/>
      <c r="Z84" s="194"/>
      <c r="AA84" s="194"/>
      <c r="AB84" s="194"/>
      <c r="AC84" s="194"/>
      <c r="AD84" s="194"/>
      <c r="AE84" s="194"/>
      <c r="AF84" s="194"/>
      <c r="AG84" s="194"/>
      <c r="AH84" s="194"/>
      <c r="AI84" s="194"/>
      <c r="AJ84" s="194"/>
      <c r="AK84" s="194"/>
      <c r="AL84" s="55"/>
      <c r="AM84" s="55"/>
      <c r="AN84" s="55"/>
      <c r="AO84" s="55"/>
      <c r="AP84" s="55"/>
      <c r="AQ84" s="55"/>
      <c r="AR84" s="55"/>
      <c r="AS84" s="55"/>
      <c r="AT84" s="55"/>
      <c r="AU84" s="55"/>
      <c r="AV84" s="55"/>
      <c r="AW84" s="55"/>
      <c r="AX84" s="55"/>
      <c r="AY84" s="55"/>
      <c r="AZ84" s="55"/>
      <c r="BA84" s="55"/>
      <c r="BB84" s="55"/>
      <c r="BC84" s="55"/>
      <c r="BD84" s="55"/>
      <c r="BE84" s="55"/>
      <c r="BF84" s="55"/>
      <c r="BG84" s="55"/>
      <c r="BH84" s="55"/>
      <c r="BI84" s="55"/>
    </row>
    <row r="85" spans="1:61" x14ac:dyDescent="0.3">
      <c r="A85" s="193" t="s">
        <v>390</v>
      </c>
      <c r="B85" s="194">
        <v>0.58699999999999997</v>
      </c>
      <c r="C85" s="194">
        <v>0.53300000000000003</v>
      </c>
      <c r="D85" s="194">
        <v>30</v>
      </c>
      <c r="E85" s="194">
        <v>0.51500000000000001</v>
      </c>
      <c r="F85" s="194">
        <v>0.63600000000000001</v>
      </c>
      <c r="G85" s="194">
        <v>33</v>
      </c>
      <c r="H85" s="194">
        <v>0.56499999999999995</v>
      </c>
      <c r="I85" s="194">
        <v>0.38200000000000001</v>
      </c>
      <c r="J85" s="194">
        <v>34</v>
      </c>
      <c r="K85" s="194">
        <v>0.55200000000000005</v>
      </c>
      <c r="L85" s="194">
        <v>0.72</v>
      </c>
      <c r="M85" s="194">
        <v>25</v>
      </c>
      <c r="N85" s="194">
        <v>0.69299999999999995</v>
      </c>
      <c r="O85" s="194">
        <v>0.59499999999999997</v>
      </c>
      <c r="P85" s="194">
        <v>37</v>
      </c>
      <c r="Q85" s="194">
        <v>0.64500000000000002</v>
      </c>
      <c r="R85" s="194">
        <v>0.76900000000000002</v>
      </c>
      <c r="S85" s="194">
        <v>39</v>
      </c>
      <c r="T85" s="194">
        <v>0.67100000000000004</v>
      </c>
      <c r="U85" s="194">
        <v>0.55900000000000005</v>
      </c>
      <c r="V85" s="194">
        <v>34</v>
      </c>
      <c r="W85" s="194"/>
      <c r="X85" s="194"/>
      <c r="Y85" s="194"/>
      <c r="Z85" s="194"/>
      <c r="AA85" s="194"/>
      <c r="AB85" s="194"/>
      <c r="AC85" s="194"/>
      <c r="AD85" s="194"/>
      <c r="AE85" s="194"/>
      <c r="AF85" s="194"/>
      <c r="AG85" s="194"/>
      <c r="AH85" s="194"/>
      <c r="AI85" s="194"/>
      <c r="AJ85" s="194"/>
      <c r="AK85" s="194"/>
      <c r="AL85" s="55"/>
      <c r="AM85" s="55"/>
      <c r="AN85" s="55"/>
      <c r="AO85" s="55"/>
      <c r="AP85" s="55"/>
      <c r="AQ85" s="55"/>
      <c r="AR85" s="55"/>
      <c r="AS85" s="55"/>
      <c r="AT85" s="55"/>
      <c r="AU85" s="55"/>
      <c r="AV85" s="55"/>
      <c r="AW85" s="55"/>
      <c r="AX85" s="55"/>
      <c r="AY85" s="55"/>
      <c r="AZ85" s="55"/>
      <c r="BA85" s="55"/>
      <c r="BB85" s="55"/>
      <c r="BC85" s="55"/>
      <c r="BD85" s="55"/>
      <c r="BE85" s="55"/>
      <c r="BF85" s="55"/>
      <c r="BG85" s="55"/>
      <c r="BH85" s="55"/>
      <c r="BI85" s="55"/>
    </row>
    <row r="86" spans="1:61" x14ac:dyDescent="0.3">
      <c r="A86" s="193" t="s">
        <v>548</v>
      </c>
      <c r="B86" s="194">
        <v>0.81299999999999994</v>
      </c>
      <c r="C86" s="194">
        <v>0.81799999999999995</v>
      </c>
      <c r="D86" s="194">
        <v>22</v>
      </c>
      <c r="E86" s="194">
        <v>0.85699999999999998</v>
      </c>
      <c r="F86" s="194">
        <v>0.8</v>
      </c>
      <c r="G86" s="194">
        <v>10</v>
      </c>
      <c r="H86" s="194">
        <v>0.89100000000000001</v>
      </c>
      <c r="I86" s="194">
        <v>0.94099999999999995</v>
      </c>
      <c r="J86" s="194">
        <v>17</v>
      </c>
      <c r="K86" s="194">
        <v>0.873</v>
      </c>
      <c r="L86" s="194">
        <v>0.89500000000000002</v>
      </c>
      <c r="M86" s="194">
        <v>19</v>
      </c>
      <c r="N86" s="194">
        <v>0.82499999999999996</v>
      </c>
      <c r="O86" s="194">
        <v>0.78900000000000003</v>
      </c>
      <c r="P86" s="194">
        <v>19</v>
      </c>
      <c r="Q86" s="194">
        <v>0.82799999999999996</v>
      </c>
      <c r="R86" s="194">
        <v>0.78900000000000003</v>
      </c>
      <c r="S86" s="194">
        <v>19</v>
      </c>
      <c r="T86" s="194">
        <v>0.84599999999999997</v>
      </c>
      <c r="U86" s="194">
        <v>0.9</v>
      </c>
      <c r="V86" s="194">
        <v>20</v>
      </c>
      <c r="W86" s="194"/>
      <c r="X86" s="194"/>
      <c r="Y86" s="194"/>
      <c r="Z86" s="194"/>
      <c r="AA86" s="194"/>
      <c r="AB86" s="194"/>
      <c r="AC86" s="194"/>
      <c r="AD86" s="194"/>
      <c r="AE86" s="194"/>
      <c r="AF86" s="194"/>
      <c r="AG86" s="194"/>
      <c r="AH86" s="194"/>
      <c r="AI86" s="194"/>
      <c r="AJ86" s="194"/>
      <c r="AK86" s="194"/>
      <c r="AL86" s="55"/>
      <c r="AM86" s="55"/>
      <c r="AN86" s="55"/>
      <c r="AO86" s="55"/>
      <c r="AP86" s="55"/>
      <c r="AQ86" s="55"/>
      <c r="AR86" s="55"/>
      <c r="AS86" s="55"/>
      <c r="AT86" s="55"/>
      <c r="AU86" s="55"/>
      <c r="AV86" s="55"/>
      <c r="AW86" s="55"/>
      <c r="AX86" s="55"/>
      <c r="AY86" s="55"/>
      <c r="AZ86" s="55"/>
      <c r="BA86" s="55"/>
      <c r="BB86" s="55"/>
      <c r="BC86" s="55"/>
      <c r="BD86" s="55"/>
      <c r="BE86" s="55"/>
      <c r="BF86" s="55"/>
      <c r="BG86" s="55"/>
      <c r="BH86" s="55"/>
      <c r="BI86" s="55"/>
    </row>
    <row r="87" spans="1:61" x14ac:dyDescent="0.3">
      <c r="A87" s="193" t="s">
        <v>518</v>
      </c>
      <c r="B87" s="194">
        <v>0.65700000000000003</v>
      </c>
      <c r="C87" s="194">
        <v>0.61799999999999999</v>
      </c>
      <c r="D87" s="194">
        <v>34</v>
      </c>
      <c r="E87" s="194">
        <v>0.60399999999999998</v>
      </c>
      <c r="F87" s="194">
        <v>0.69699999999999995</v>
      </c>
      <c r="G87" s="194">
        <v>33</v>
      </c>
      <c r="H87" s="194">
        <v>0.59099999999999997</v>
      </c>
      <c r="I87" s="194">
        <v>0.48299999999999998</v>
      </c>
      <c r="J87" s="194">
        <v>29</v>
      </c>
      <c r="K87" s="194">
        <v>0.59599999999999997</v>
      </c>
      <c r="L87" s="194">
        <v>0.58099999999999996</v>
      </c>
      <c r="M87" s="194">
        <v>31</v>
      </c>
      <c r="N87" s="194">
        <v>0.56000000000000005</v>
      </c>
      <c r="O87" s="194">
        <v>0.68200000000000005</v>
      </c>
      <c r="P87" s="194">
        <v>44</v>
      </c>
      <c r="Q87" s="194">
        <v>0.53900000000000003</v>
      </c>
      <c r="R87" s="194">
        <v>0.32</v>
      </c>
      <c r="S87" s="194">
        <v>25</v>
      </c>
      <c r="T87" s="194">
        <v>0.43099999999999999</v>
      </c>
      <c r="U87" s="194">
        <v>0.51500000000000001</v>
      </c>
      <c r="V87" s="194">
        <v>33</v>
      </c>
      <c r="W87" s="194"/>
      <c r="X87" s="194"/>
      <c r="Y87" s="194"/>
      <c r="Z87" s="194"/>
      <c r="AA87" s="194"/>
      <c r="AB87" s="194"/>
      <c r="AC87" s="194"/>
      <c r="AD87" s="194"/>
      <c r="AE87" s="194"/>
      <c r="AF87" s="194"/>
      <c r="AG87" s="194"/>
      <c r="AH87" s="194"/>
      <c r="AI87" s="194"/>
      <c r="AJ87" s="194"/>
      <c r="AK87" s="194"/>
      <c r="AL87" s="55"/>
      <c r="AM87" s="55"/>
      <c r="AN87" s="55"/>
      <c r="AO87" s="55"/>
      <c r="AP87" s="55"/>
      <c r="AQ87" s="55"/>
      <c r="AR87" s="55"/>
      <c r="AS87" s="55"/>
      <c r="AT87" s="55"/>
      <c r="AU87" s="55"/>
      <c r="AV87" s="55"/>
      <c r="AW87" s="55"/>
      <c r="AX87" s="55"/>
      <c r="AY87" s="55"/>
      <c r="AZ87" s="55"/>
      <c r="BA87" s="55"/>
      <c r="BB87" s="55"/>
      <c r="BC87" s="55"/>
      <c r="BD87" s="55"/>
      <c r="BE87" s="55"/>
      <c r="BF87" s="55"/>
      <c r="BG87" s="55"/>
      <c r="BH87" s="55"/>
      <c r="BI87" s="55"/>
    </row>
    <row r="88" spans="1:61" x14ac:dyDescent="0.3">
      <c r="A88" s="193" t="s">
        <v>514</v>
      </c>
      <c r="B88" s="194">
        <v>0.5</v>
      </c>
      <c r="C88" s="194">
        <v>0</v>
      </c>
      <c r="D88" s="194">
        <v>2</v>
      </c>
      <c r="E88" s="194">
        <v>0.4</v>
      </c>
      <c r="F88" s="194">
        <v>1</v>
      </c>
      <c r="G88" s="194">
        <v>2</v>
      </c>
      <c r="H88" s="194">
        <v>0.4</v>
      </c>
      <c r="I88" s="194">
        <v>0</v>
      </c>
      <c r="J88" s="194">
        <v>1</v>
      </c>
      <c r="K88" s="194">
        <v>0</v>
      </c>
      <c r="L88" s="194">
        <v>0</v>
      </c>
      <c r="M88" s="194">
        <v>2</v>
      </c>
      <c r="N88" s="194">
        <v>0</v>
      </c>
      <c r="O88" s="194">
        <v>0</v>
      </c>
      <c r="P88" s="194">
        <v>3</v>
      </c>
      <c r="Q88" s="194">
        <v>0.16700000000000001</v>
      </c>
      <c r="R88" s="194">
        <v>0</v>
      </c>
      <c r="S88" s="194">
        <v>1</v>
      </c>
      <c r="T88" s="194">
        <v>0.33300000000000002</v>
      </c>
      <c r="U88" s="194">
        <v>0.5</v>
      </c>
      <c r="V88" s="194">
        <v>2</v>
      </c>
      <c r="W88" s="194"/>
      <c r="X88" s="194"/>
      <c r="Y88" s="194"/>
      <c r="Z88" s="194"/>
      <c r="AA88" s="194"/>
      <c r="AB88" s="194"/>
      <c r="AC88" s="194"/>
      <c r="AD88" s="194"/>
      <c r="AE88" s="194"/>
      <c r="AF88" s="194"/>
      <c r="AG88" s="194"/>
      <c r="AH88" s="194"/>
      <c r="AI88" s="194"/>
      <c r="AJ88" s="194"/>
      <c r="AK88" s="194"/>
      <c r="AL88" s="55"/>
      <c r="AM88" s="55"/>
      <c r="AN88" s="55"/>
      <c r="AO88" s="55"/>
      <c r="AP88" s="55"/>
      <c r="AQ88" s="55"/>
      <c r="AR88" s="55"/>
      <c r="AS88" s="55"/>
      <c r="AT88" s="55"/>
      <c r="AU88" s="55"/>
      <c r="AV88" s="55"/>
      <c r="AW88" s="55"/>
      <c r="AX88" s="55"/>
      <c r="AY88" s="55"/>
      <c r="AZ88" s="55"/>
      <c r="BA88" s="55"/>
      <c r="BB88" s="55"/>
      <c r="BC88" s="55"/>
      <c r="BD88" s="55"/>
      <c r="BE88" s="55"/>
      <c r="BF88" s="55"/>
      <c r="BG88" s="55"/>
      <c r="BH88" s="55"/>
      <c r="BI88" s="55"/>
    </row>
    <row r="89" spans="1:61" x14ac:dyDescent="0.3">
      <c r="A89" s="193" t="s">
        <v>496</v>
      </c>
      <c r="B89" s="194">
        <v>0.77800000000000002</v>
      </c>
      <c r="C89" s="194">
        <v>0.83799999999999997</v>
      </c>
      <c r="D89" s="194">
        <v>37</v>
      </c>
      <c r="E89" s="194">
        <v>0.752</v>
      </c>
      <c r="F89" s="194">
        <v>0.72699999999999998</v>
      </c>
      <c r="G89" s="194">
        <v>44</v>
      </c>
      <c r="H89" s="194">
        <v>0.70699999999999996</v>
      </c>
      <c r="I89" s="194">
        <v>0.7</v>
      </c>
      <c r="J89" s="194">
        <v>40</v>
      </c>
      <c r="K89" s="194">
        <v>0.67900000000000005</v>
      </c>
      <c r="L89" s="194">
        <v>0.69199999999999995</v>
      </c>
      <c r="M89" s="194">
        <v>39</v>
      </c>
      <c r="N89" s="194">
        <v>0.69699999999999995</v>
      </c>
      <c r="O89" s="194">
        <v>0.63300000000000001</v>
      </c>
      <c r="P89" s="194">
        <v>30</v>
      </c>
      <c r="Q89" s="194">
        <v>0.66400000000000003</v>
      </c>
      <c r="R89" s="194">
        <v>0.75</v>
      </c>
      <c r="S89" s="194">
        <v>40</v>
      </c>
      <c r="T89" s="194">
        <v>0.67500000000000004</v>
      </c>
      <c r="U89" s="194">
        <v>0.60499999999999998</v>
      </c>
      <c r="V89" s="194">
        <v>43</v>
      </c>
      <c r="W89" s="194"/>
      <c r="X89" s="194"/>
      <c r="Y89" s="194"/>
      <c r="Z89" s="194"/>
      <c r="AA89" s="194"/>
      <c r="AB89" s="194"/>
      <c r="AC89" s="194"/>
      <c r="AD89" s="194"/>
      <c r="AE89" s="194"/>
      <c r="AF89" s="194"/>
      <c r="AG89" s="194"/>
      <c r="AH89" s="194"/>
      <c r="AI89" s="194"/>
      <c r="AJ89" s="194"/>
      <c r="AK89" s="194"/>
      <c r="AL89" s="55"/>
      <c r="AM89" s="55"/>
      <c r="AN89" s="55"/>
      <c r="AO89" s="55"/>
      <c r="AP89" s="55"/>
      <c r="AQ89" s="55"/>
      <c r="AR89" s="55"/>
      <c r="AS89" s="55"/>
      <c r="AT89" s="55"/>
      <c r="AU89" s="55"/>
      <c r="AV89" s="55"/>
      <c r="AW89" s="55"/>
      <c r="AX89" s="55"/>
      <c r="AY89" s="55"/>
      <c r="AZ89" s="55"/>
      <c r="BA89" s="55"/>
      <c r="BB89" s="55"/>
      <c r="BC89" s="55"/>
      <c r="BD89" s="55"/>
      <c r="BE89" s="55"/>
      <c r="BF89" s="55"/>
      <c r="BG89" s="55"/>
      <c r="BH89" s="55"/>
      <c r="BI89" s="55"/>
    </row>
    <row r="90" spans="1:61" x14ac:dyDescent="0.3">
      <c r="A90" s="193" t="s">
        <v>359</v>
      </c>
      <c r="B90" s="194">
        <v>0.69199999999999995</v>
      </c>
      <c r="C90" s="194">
        <v>0.75</v>
      </c>
      <c r="D90" s="194">
        <v>12</v>
      </c>
      <c r="E90" s="194">
        <v>0.56399999999999995</v>
      </c>
      <c r="F90" s="194">
        <v>0.64300000000000002</v>
      </c>
      <c r="G90" s="194">
        <v>14</v>
      </c>
      <c r="H90" s="194">
        <v>0.52100000000000002</v>
      </c>
      <c r="I90" s="194">
        <v>0.308</v>
      </c>
      <c r="J90" s="194">
        <v>13</v>
      </c>
      <c r="K90" s="194">
        <v>0.58899999999999997</v>
      </c>
      <c r="L90" s="194">
        <v>0.57099999999999995</v>
      </c>
      <c r="M90" s="194">
        <v>21</v>
      </c>
      <c r="N90" s="194">
        <v>0.66200000000000003</v>
      </c>
      <c r="O90" s="194">
        <v>0.77300000000000002</v>
      </c>
      <c r="P90" s="194">
        <v>22</v>
      </c>
      <c r="Q90" s="194">
        <v>0.72299999999999998</v>
      </c>
      <c r="R90" s="194">
        <v>0.64300000000000002</v>
      </c>
      <c r="S90" s="194">
        <v>28</v>
      </c>
      <c r="T90" s="194">
        <v>0.69799999999999995</v>
      </c>
      <c r="U90" s="194">
        <v>0.8</v>
      </c>
      <c r="V90" s="194">
        <v>15</v>
      </c>
      <c r="W90" s="194"/>
      <c r="X90" s="194"/>
      <c r="Y90" s="194"/>
      <c r="Z90" s="194"/>
      <c r="AA90" s="194"/>
      <c r="AB90" s="194"/>
      <c r="AC90" s="194"/>
      <c r="AD90" s="194"/>
      <c r="AE90" s="194"/>
      <c r="AF90" s="194"/>
      <c r="AG90" s="194"/>
      <c r="AH90" s="194"/>
      <c r="AI90" s="194"/>
      <c r="AJ90" s="194"/>
      <c r="AK90" s="194"/>
      <c r="AL90" s="55"/>
      <c r="AM90" s="55"/>
      <c r="AN90" s="55"/>
      <c r="AO90" s="55"/>
      <c r="AP90" s="55"/>
      <c r="AQ90" s="55"/>
      <c r="AR90" s="55"/>
      <c r="AS90" s="55"/>
      <c r="AT90" s="55"/>
      <c r="AU90" s="55"/>
      <c r="AV90" s="55"/>
      <c r="AW90" s="55"/>
      <c r="AX90" s="55"/>
      <c r="AY90" s="55"/>
      <c r="AZ90" s="55"/>
      <c r="BA90" s="55"/>
      <c r="BB90" s="55"/>
      <c r="BC90" s="55"/>
      <c r="BD90" s="55"/>
      <c r="BE90" s="55"/>
      <c r="BF90" s="55"/>
      <c r="BG90" s="55"/>
      <c r="BH90" s="55"/>
      <c r="BI90" s="55"/>
    </row>
    <row r="91" spans="1:61" x14ac:dyDescent="0.3">
      <c r="A91" s="193" t="s">
        <v>431</v>
      </c>
      <c r="B91" s="194">
        <v>0.58799999999999997</v>
      </c>
      <c r="C91" s="194">
        <v>0.5</v>
      </c>
      <c r="D91" s="194">
        <v>6</v>
      </c>
      <c r="E91" s="194">
        <v>0.59399999999999997</v>
      </c>
      <c r="F91" s="194">
        <v>0.63600000000000001</v>
      </c>
      <c r="G91" s="194">
        <v>11</v>
      </c>
      <c r="H91" s="194">
        <v>0.61</v>
      </c>
      <c r="I91" s="194">
        <v>0.6</v>
      </c>
      <c r="J91" s="194">
        <v>15</v>
      </c>
      <c r="K91" s="194">
        <v>0.68600000000000005</v>
      </c>
      <c r="L91" s="194">
        <v>0.6</v>
      </c>
      <c r="M91" s="194">
        <v>15</v>
      </c>
      <c r="N91" s="194">
        <v>0.69799999999999995</v>
      </c>
      <c r="O91" s="194">
        <v>0.81</v>
      </c>
      <c r="P91" s="194">
        <v>21</v>
      </c>
      <c r="Q91" s="194">
        <v>0.75</v>
      </c>
      <c r="R91" s="194">
        <v>0.66700000000000004</v>
      </c>
      <c r="S91" s="194">
        <v>27</v>
      </c>
      <c r="T91" s="194">
        <v>0.72299999999999998</v>
      </c>
      <c r="U91" s="194">
        <v>0.8</v>
      </c>
      <c r="V91" s="194">
        <v>20</v>
      </c>
      <c r="W91" s="194"/>
      <c r="X91" s="194"/>
      <c r="Y91" s="194"/>
      <c r="Z91" s="194"/>
      <c r="AA91" s="194"/>
      <c r="AB91" s="194"/>
      <c r="AC91" s="194"/>
      <c r="AD91" s="194"/>
      <c r="AE91" s="194"/>
      <c r="AF91" s="194"/>
      <c r="AG91" s="194"/>
      <c r="AH91" s="194"/>
      <c r="AI91" s="194"/>
      <c r="AJ91" s="194"/>
      <c r="AK91" s="194"/>
      <c r="AL91" s="55"/>
      <c r="AM91" s="55"/>
      <c r="AN91" s="55"/>
      <c r="AO91" s="55"/>
      <c r="AP91" s="55"/>
      <c r="AQ91" s="55"/>
      <c r="AR91" s="55"/>
      <c r="AS91" s="55"/>
      <c r="AT91" s="55"/>
      <c r="AU91" s="55"/>
      <c r="AV91" s="55"/>
      <c r="AW91" s="55"/>
      <c r="AX91" s="55"/>
      <c r="AY91" s="55"/>
      <c r="AZ91" s="55"/>
      <c r="BA91" s="55"/>
      <c r="BB91" s="55"/>
      <c r="BC91" s="55"/>
      <c r="BD91" s="55"/>
      <c r="BE91" s="55"/>
      <c r="BF91" s="55"/>
      <c r="BG91" s="55"/>
      <c r="BH91" s="55"/>
      <c r="BI91" s="55"/>
    </row>
    <row r="92" spans="1:61" x14ac:dyDescent="0.3">
      <c r="A92" s="193" t="s">
        <v>526</v>
      </c>
      <c r="B92" s="194">
        <v>0.26700000000000002</v>
      </c>
      <c r="C92" s="194">
        <v>0.29199999999999998</v>
      </c>
      <c r="D92" s="194">
        <v>24</v>
      </c>
      <c r="E92" s="194">
        <v>0.25700000000000001</v>
      </c>
      <c r="F92" s="194">
        <v>0.23799999999999999</v>
      </c>
      <c r="G92" s="194">
        <v>21</v>
      </c>
      <c r="H92" s="194">
        <v>0.23799999999999999</v>
      </c>
      <c r="I92" s="194">
        <v>0.24099999999999999</v>
      </c>
      <c r="J92" s="194">
        <v>29</v>
      </c>
      <c r="K92" s="194">
        <v>0.27900000000000003</v>
      </c>
      <c r="L92" s="194">
        <v>0.23499999999999999</v>
      </c>
      <c r="M92" s="194">
        <v>34</v>
      </c>
      <c r="N92" s="194">
        <v>0.316</v>
      </c>
      <c r="O92" s="194">
        <v>0.39100000000000001</v>
      </c>
      <c r="P92" s="194">
        <v>23</v>
      </c>
      <c r="Q92" s="194">
        <v>0.38400000000000001</v>
      </c>
      <c r="R92" s="194">
        <v>0.36799999999999999</v>
      </c>
      <c r="S92" s="194">
        <v>19</v>
      </c>
      <c r="T92" s="194">
        <v>0.38</v>
      </c>
      <c r="U92" s="194">
        <v>0.38700000000000001</v>
      </c>
      <c r="V92" s="194">
        <v>31</v>
      </c>
      <c r="W92" s="194"/>
      <c r="X92" s="194"/>
      <c r="Y92" s="194"/>
      <c r="Z92" s="194"/>
      <c r="AA92" s="194"/>
      <c r="AB92" s="194"/>
      <c r="AC92" s="194"/>
      <c r="AD92" s="194"/>
      <c r="AE92" s="194"/>
      <c r="AF92" s="194"/>
      <c r="AG92" s="194"/>
      <c r="AH92" s="194"/>
      <c r="AI92" s="194"/>
      <c r="AJ92" s="194"/>
      <c r="AK92" s="194"/>
      <c r="AL92" s="55"/>
      <c r="AM92" s="55"/>
      <c r="AN92" s="55"/>
      <c r="AO92" s="55"/>
      <c r="AP92" s="55"/>
      <c r="AQ92" s="55"/>
      <c r="AR92" s="55"/>
      <c r="AS92" s="55"/>
      <c r="AT92" s="55"/>
      <c r="AU92" s="55"/>
      <c r="AV92" s="55"/>
      <c r="AW92" s="55"/>
      <c r="AX92" s="55"/>
      <c r="AY92" s="55"/>
      <c r="AZ92" s="55"/>
      <c r="BA92" s="55"/>
      <c r="BB92" s="55"/>
      <c r="BC92" s="55"/>
      <c r="BD92" s="55"/>
      <c r="BE92" s="55"/>
      <c r="BF92" s="55"/>
      <c r="BG92" s="55"/>
      <c r="BH92" s="55"/>
      <c r="BI92" s="55"/>
    </row>
    <row r="93" spans="1:61" x14ac:dyDescent="0.3">
      <c r="A93" s="193" t="s">
        <v>435</v>
      </c>
      <c r="B93" s="194">
        <v>0.6</v>
      </c>
      <c r="C93" s="194">
        <v>0.64300000000000002</v>
      </c>
      <c r="D93" s="194">
        <v>28</v>
      </c>
      <c r="E93" s="194">
        <v>0.47599999999999998</v>
      </c>
      <c r="F93" s="194">
        <v>0.55600000000000005</v>
      </c>
      <c r="G93" s="194">
        <v>27</v>
      </c>
      <c r="H93" s="194">
        <v>0.5</v>
      </c>
      <c r="I93" s="194">
        <v>0.24099999999999999</v>
      </c>
      <c r="J93" s="194">
        <v>29</v>
      </c>
      <c r="K93" s="194">
        <v>0.505</v>
      </c>
      <c r="L93" s="194">
        <v>0.73099999999999998</v>
      </c>
      <c r="M93" s="194">
        <v>26</v>
      </c>
      <c r="N93" s="194">
        <v>0.56899999999999995</v>
      </c>
      <c r="O93" s="194">
        <v>0.55300000000000005</v>
      </c>
      <c r="P93" s="194">
        <v>38</v>
      </c>
      <c r="Q93" s="194">
        <v>0.51400000000000001</v>
      </c>
      <c r="R93" s="194">
        <v>0.47399999999999998</v>
      </c>
      <c r="S93" s="194">
        <v>38</v>
      </c>
      <c r="T93" s="194">
        <v>0.49299999999999999</v>
      </c>
      <c r="U93" s="194">
        <v>0.51400000000000001</v>
      </c>
      <c r="V93" s="194">
        <v>35</v>
      </c>
      <c r="W93" s="194"/>
      <c r="X93" s="194"/>
      <c r="Y93" s="194"/>
      <c r="Z93" s="194"/>
      <c r="AA93" s="194"/>
      <c r="AB93" s="194"/>
      <c r="AC93" s="194"/>
      <c r="AD93" s="194"/>
      <c r="AE93" s="194"/>
      <c r="AF93" s="194"/>
      <c r="AG93" s="194"/>
      <c r="AH93" s="194"/>
      <c r="AI93" s="194"/>
      <c r="AJ93" s="194"/>
      <c r="AK93" s="194"/>
      <c r="AL93" s="55"/>
      <c r="AM93" s="55"/>
      <c r="AN93" s="55"/>
      <c r="AO93" s="55"/>
      <c r="AP93" s="55"/>
      <c r="AQ93" s="55"/>
      <c r="AR93" s="55"/>
      <c r="AS93" s="55"/>
      <c r="AT93" s="55"/>
      <c r="AU93" s="55"/>
      <c r="AV93" s="55"/>
      <c r="AW93" s="55"/>
      <c r="AX93" s="55"/>
      <c r="AY93" s="55"/>
      <c r="AZ93" s="55"/>
      <c r="BA93" s="55"/>
      <c r="BB93" s="55"/>
      <c r="BC93" s="55"/>
      <c r="BD93" s="55"/>
      <c r="BE93" s="55"/>
      <c r="BF93" s="55"/>
      <c r="BG93" s="55"/>
      <c r="BH93" s="55"/>
      <c r="BI93" s="55"/>
    </row>
    <row r="94" spans="1:61" x14ac:dyDescent="0.3">
      <c r="A94" s="193" t="s">
        <v>267</v>
      </c>
      <c r="B94" s="194">
        <v>0.52400000000000002</v>
      </c>
      <c r="C94" s="194">
        <v>0.36399999999999999</v>
      </c>
      <c r="D94" s="194">
        <v>11</v>
      </c>
      <c r="E94" s="194">
        <v>0.45500000000000002</v>
      </c>
      <c r="F94" s="194">
        <v>0.7</v>
      </c>
      <c r="G94" s="194">
        <v>10</v>
      </c>
      <c r="H94" s="194">
        <v>0.61399999999999999</v>
      </c>
      <c r="I94" s="194">
        <v>0.33300000000000002</v>
      </c>
      <c r="J94" s="194">
        <v>12</v>
      </c>
      <c r="K94" s="194">
        <v>0.51800000000000002</v>
      </c>
      <c r="L94" s="194">
        <v>0.72699999999999998</v>
      </c>
      <c r="M94" s="194">
        <v>22</v>
      </c>
      <c r="N94" s="194">
        <v>0.54500000000000004</v>
      </c>
      <c r="O94" s="194">
        <v>0.40899999999999997</v>
      </c>
      <c r="P94" s="194">
        <v>22</v>
      </c>
      <c r="Q94" s="194">
        <v>0.5</v>
      </c>
      <c r="R94" s="194">
        <v>0.5</v>
      </c>
      <c r="S94" s="194">
        <v>22</v>
      </c>
      <c r="T94" s="194">
        <v>0.56299999999999994</v>
      </c>
      <c r="U94" s="194">
        <v>0.7</v>
      </c>
      <c r="V94" s="194">
        <v>10</v>
      </c>
      <c r="W94" s="194"/>
      <c r="X94" s="194"/>
      <c r="Y94" s="194"/>
      <c r="Z94" s="194"/>
      <c r="AA94" s="194"/>
      <c r="AB94" s="194"/>
      <c r="AC94" s="194"/>
      <c r="AD94" s="194"/>
      <c r="AE94" s="194"/>
      <c r="AF94" s="194"/>
      <c r="AG94" s="194"/>
      <c r="AH94" s="194"/>
      <c r="AI94" s="194"/>
      <c r="AJ94" s="194"/>
      <c r="AK94" s="194"/>
      <c r="AL94" s="55"/>
      <c r="AM94" s="55"/>
      <c r="AN94" s="55"/>
      <c r="AO94" s="55"/>
      <c r="AP94" s="55"/>
      <c r="AQ94" s="55"/>
      <c r="AR94" s="55"/>
      <c r="AS94" s="55"/>
      <c r="AT94" s="55"/>
      <c r="AU94" s="55"/>
      <c r="AV94" s="55"/>
      <c r="AW94" s="55"/>
      <c r="AX94" s="55"/>
      <c r="AY94" s="55"/>
      <c r="AZ94" s="55"/>
      <c r="BA94" s="55"/>
      <c r="BB94" s="55"/>
      <c r="BC94" s="55"/>
      <c r="BD94" s="55"/>
      <c r="BE94" s="55"/>
      <c r="BF94" s="55"/>
      <c r="BG94" s="55"/>
      <c r="BH94" s="55"/>
      <c r="BI94" s="55"/>
    </row>
    <row r="95" spans="1:61" x14ac:dyDescent="0.3">
      <c r="A95" s="193" t="s">
        <v>484</v>
      </c>
      <c r="B95" s="194">
        <v>0.59</v>
      </c>
      <c r="C95" s="194">
        <v>0.66700000000000004</v>
      </c>
      <c r="D95" s="194">
        <v>21</v>
      </c>
      <c r="E95" s="194">
        <v>0.61</v>
      </c>
      <c r="F95" s="194">
        <v>0.5</v>
      </c>
      <c r="G95" s="194">
        <v>18</v>
      </c>
      <c r="H95" s="194">
        <v>0.52600000000000002</v>
      </c>
      <c r="I95" s="194">
        <v>0.65</v>
      </c>
      <c r="J95" s="194">
        <v>20</v>
      </c>
      <c r="K95" s="194">
        <v>0.52200000000000002</v>
      </c>
      <c r="L95" s="194">
        <v>0.42099999999999999</v>
      </c>
      <c r="M95" s="194">
        <v>19</v>
      </c>
      <c r="N95" s="194">
        <v>0.49299999999999999</v>
      </c>
      <c r="O95" s="194">
        <v>0.5</v>
      </c>
      <c r="P95" s="194">
        <v>28</v>
      </c>
      <c r="Q95" s="194">
        <v>0.56999999999999995</v>
      </c>
      <c r="R95" s="194">
        <v>0.53600000000000003</v>
      </c>
      <c r="S95" s="194">
        <v>28</v>
      </c>
      <c r="T95" s="194">
        <v>0.60799999999999998</v>
      </c>
      <c r="U95" s="194">
        <v>0.69599999999999995</v>
      </c>
      <c r="V95" s="194">
        <v>23</v>
      </c>
      <c r="W95" s="194"/>
      <c r="X95" s="194"/>
      <c r="Y95" s="194"/>
      <c r="Z95" s="194"/>
      <c r="AA95" s="194"/>
      <c r="AB95" s="194"/>
      <c r="AC95" s="194"/>
      <c r="AD95" s="194"/>
      <c r="AE95" s="194"/>
      <c r="AF95" s="194"/>
      <c r="AG95" s="194"/>
      <c r="AH95" s="194"/>
      <c r="AI95" s="194"/>
      <c r="AJ95" s="194"/>
      <c r="AK95" s="194"/>
      <c r="AL95" s="55"/>
      <c r="AM95" s="55"/>
      <c r="AN95" s="55"/>
      <c r="AO95" s="55"/>
      <c r="AP95" s="55"/>
      <c r="AQ95" s="55"/>
      <c r="AR95" s="55"/>
      <c r="AS95" s="55"/>
      <c r="AT95" s="55"/>
      <c r="AU95" s="55"/>
      <c r="AV95" s="55"/>
      <c r="AW95" s="55"/>
      <c r="AX95" s="55"/>
      <c r="AY95" s="55"/>
      <c r="AZ95" s="55"/>
      <c r="BA95" s="55"/>
      <c r="BB95" s="55"/>
      <c r="BC95" s="55"/>
      <c r="BD95" s="55"/>
      <c r="BE95" s="55"/>
      <c r="BF95" s="55"/>
      <c r="BG95" s="55"/>
      <c r="BH95" s="55"/>
      <c r="BI95" s="55"/>
    </row>
    <row r="96" spans="1:61" x14ac:dyDescent="0.3">
      <c r="A96" s="193" t="s">
        <v>470</v>
      </c>
      <c r="B96" s="194">
        <v>0.54800000000000004</v>
      </c>
      <c r="C96" s="194">
        <v>0.5</v>
      </c>
      <c r="D96" s="194">
        <v>12</v>
      </c>
      <c r="E96" s="194">
        <v>0.48899999999999999</v>
      </c>
      <c r="F96" s="194">
        <v>0.57899999999999996</v>
      </c>
      <c r="G96" s="194">
        <v>19</v>
      </c>
      <c r="H96" s="194">
        <v>0.40799999999999997</v>
      </c>
      <c r="I96" s="194">
        <v>0.375</v>
      </c>
      <c r="J96" s="194">
        <v>16</v>
      </c>
      <c r="K96" s="194">
        <v>0.44900000000000001</v>
      </c>
      <c r="L96" s="194">
        <v>0.214</v>
      </c>
      <c r="M96" s="194">
        <v>14</v>
      </c>
      <c r="N96" s="194">
        <v>0.47099999999999997</v>
      </c>
      <c r="O96" s="194">
        <v>0.68400000000000005</v>
      </c>
      <c r="P96" s="194">
        <v>19</v>
      </c>
      <c r="Q96" s="194">
        <v>0.57099999999999995</v>
      </c>
      <c r="R96" s="194">
        <v>0.44400000000000001</v>
      </c>
      <c r="S96" s="194">
        <v>18</v>
      </c>
      <c r="T96" s="194">
        <v>0.5</v>
      </c>
      <c r="U96" s="194">
        <v>0.58299999999999996</v>
      </c>
      <c r="V96" s="194">
        <v>12</v>
      </c>
      <c r="W96" s="194"/>
      <c r="X96" s="194"/>
      <c r="Y96" s="194"/>
      <c r="Z96" s="194"/>
      <c r="AA96" s="194"/>
      <c r="AB96" s="194"/>
      <c r="AC96" s="194"/>
      <c r="AD96" s="194"/>
      <c r="AE96" s="194"/>
      <c r="AF96" s="194"/>
      <c r="AG96" s="194"/>
      <c r="AH96" s="194"/>
      <c r="AI96" s="194"/>
      <c r="AJ96" s="194"/>
      <c r="AK96" s="194"/>
      <c r="AL96" s="55"/>
      <c r="AM96" s="55"/>
      <c r="AN96" s="55"/>
      <c r="AO96" s="55"/>
      <c r="AP96" s="55"/>
      <c r="AQ96" s="55"/>
      <c r="AR96" s="55"/>
      <c r="AS96" s="55"/>
      <c r="AT96" s="55"/>
      <c r="AU96" s="55"/>
      <c r="AV96" s="55"/>
      <c r="AW96" s="55"/>
      <c r="AX96" s="55"/>
      <c r="AY96" s="55"/>
      <c r="AZ96" s="55"/>
      <c r="BA96" s="55"/>
      <c r="BB96" s="55"/>
      <c r="BC96" s="55"/>
      <c r="BD96" s="55"/>
      <c r="BE96" s="55"/>
      <c r="BF96" s="55"/>
      <c r="BG96" s="55"/>
      <c r="BH96" s="55"/>
      <c r="BI96" s="55"/>
    </row>
    <row r="97" spans="1:61" x14ac:dyDescent="0.3">
      <c r="A97" s="193" t="s">
        <v>530</v>
      </c>
      <c r="B97" s="194">
        <v>0.54200000000000004</v>
      </c>
      <c r="C97" s="194">
        <v>0.45500000000000002</v>
      </c>
      <c r="D97" s="194">
        <v>11</v>
      </c>
      <c r="E97" s="194">
        <v>0.52900000000000003</v>
      </c>
      <c r="F97" s="194">
        <v>0.61499999999999999</v>
      </c>
      <c r="G97" s="194">
        <v>13</v>
      </c>
      <c r="H97" s="194">
        <v>0.51700000000000002</v>
      </c>
      <c r="I97" s="194">
        <v>0.5</v>
      </c>
      <c r="J97" s="194">
        <v>10</v>
      </c>
      <c r="K97" s="194">
        <v>0.5</v>
      </c>
      <c r="L97" s="194">
        <v>0.33300000000000002</v>
      </c>
      <c r="M97" s="194">
        <v>6</v>
      </c>
      <c r="N97" s="194">
        <v>0.47099999999999997</v>
      </c>
      <c r="O97" s="194">
        <v>0.66700000000000004</v>
      </c>
      <c r="P97" s="194">
        <v>6</v>
      </c>
      <c r="Q97" s="194">
        <v>0.625</v>
      </c>
      <c r="R97" s="194">
        <v>0.4</v>
      </c>
      <c r="S97" s="194">
        <v>5</v>
      </c>
      <c r="T97" s="194">
        <v>0.6</v>
      </c>
      <c r="U97" s="194">
        <v>0.8</v>
      </c>
      <c r="V97" s="194">
        <v>5</v>
      </c>
      <c r="W97" s="194"/>
      <c r="X97" s="194"/>
      <c r="Y97" s="194"/>
      <c r="Z97" s="194"/>
      <c r="AA97" s="194"/>
      <c r="AB97" s="194"/>
      <c r="AC97" s="194"/>
      <c r="AD97" s="194"/>
      <c r="AE97" s="194"/>
      <c r="AF97" s="194"/>
      <c r="AG97" s="194"/>
      <c r="AH97" s="194"/>
      <c r="AI97" s="194"/>
      <c r="AJ97" s="194"/>
      <c r="AK97" s="194"/>
      <c r="AL97" s="55"/>
      <c r="AM97" s="55"/>
      <c r="AN97" s="55"/>
      <c r="AO97" s="55"/>
      <c r="AP97" s="55"/>
      <c r="AQ97" s="55"/>
      <c r="AR97" s="55"/>
      <c r="AS97" s="55"/>
      <c r="AT97" s="55"/>
      <c r="AU97" s="55"/>
      <c r="AV97" s="55"/>
      <c r="AW97" s="55"/>
      <c r="AX97" s="55"/>
      <c r="AY97" s="55"/>
      <c r="AZ97" s="55"/>
      <c r="BA97" s="55"/>
      <c r="BB97" s="55"/>
      <c r="BC97" s="55"/>
      <c r="BD97" s="55"/>
      <c r="BE97" s="55"/>
      <c r="BF97" s="55"/>
      <c r="BG97" s="55"/>
      <c r="BH97" s="55"/>
      <c r="BI97" s="55"/>
    </row>
    <row r="98" spans="1:61" x14ac:dyDescent="0.3">
      <c r="A98" s="193" t="s">
        <v>416</v>
      </c>
      <c r="B98" s="194">
        <v>0.51600000000000001</v>
      </c>
      <c r="C98" s="194">
        <v>0.5</v>
      </c>
      <c r="D98" s="194">
        <v>40</v>
      </c>
      <c r="E98" s="194">
        <v>0.45300000000000001</v>
      </c>
      <c r="F98" s="194">
        <v>0.52800000000000002</v>
      </c>
      <c r="G98" s="194">
        <v>53</v>
      </c>
      <c r="H98" s="194">
        <v>0.5</v>
      </c>
      <c r="I98" s="194">
        <v>0.36799999999999999</v>
      </c>
      <c r="J98" s="194">
        <v>68</v>
      </c>
      <c r="K98" s="194">
        <v>0.53200000000000003</v>
      </c>
      <c r="L98" s="194">
        <v>0.60899999999999999</v>
      </c>
      <c r="M98" s="194">
        <v>69</v>
      </c>
      <c r="N98" s="194">
        <v>0.62</v>
      </c>
      <c r="O98" s="194">
        <v>0.64700000000000002</v>
      </c>
      <c r="P98" s="194">
        <v>51</v>
      </c>
      <c r="Q98" s="194">
        <v>0.64</v>
      </c>
      <c r="R98" s="194">
        <v>0.60899999999999999</v>
      </c>
      <c r="S98" s="194">
        <v>64</v>
      </c>
      <c r="T98" s="194">
        <v>0.63600000000000001</v>
      </c>
      <c r="U98" s="194">
        <v>0.66700000000000004</v>
      </c>
      <c r="V98" s="194">
        <v>57</v>
      </c>
      <c r="W98" s="194"/>
      <c r="X98" s="194"/>
      <c r="Y98" s="194"/>
      <c r="Z98" s="194"/>
      <c r="AA98" s="194"/>
      <c r="AB98" s="194"/>
      <c r="AC98" s="194"/>
      <c r="AD98" s="194"/>
      <c r="AE98" s="194"/>
      <c r="AF98" s="194"/>
      <c r="AG98" s="194"/>
      <c r="AH98" s="194"/>
      <c r="AI98" s="194"/>
      <c r="AJ98" s="194"/>
      <c r="AK98" s="194"/>
      <c r="AL98" s="55"/>
      <c r="AM98" s="55"/>
      <c r="AN98" s="55"/>
      <c r="AO98" s="55"/>
      <c r="AP98" s="55"/>
      <c r="AQ98" s="55"/>
      <c r="AR98" s="55"/>
      <c r="AS98" s="55"/>
      <c r="AT98" s="55"/>
      <c r="AU98" s="55"/>
      <c r="AV98" s="55"/>
      <c r="AW98" s="55"/>
      <c r="AX98" s="55"/>
      <c r="AY98" s="55"/>
      <c r="AZ98" s="55"/>
      <c r="BA98" s="55"/>
      <c r="BB98" s="55"/>
      <c r="BC98" s="55"/>
      <c r="BD98" s="55"/>
      <c r="BE98" s="55"/>
      <c r="BF98" s="55"/>
      <c r="BG98" s="55"/>
      <c r="BH98" s="55"/>
      <c r="BI98" s="55"/>
    </row>
    <row r="99" spans="1:61" x14ac:dyDescent="0.3">
      <c r="A99" s="193" t="s">
        <v>350</v>
      </c>
      <c r="B99" s="194">
        <v>0.52600000000000002</v>
      </c>
      <c r="C99" s="194">
        <v>0.4</v>
      </c>
      <c r="D99" s="194">
        <v>5</v>
      </c>
      <c r="E99" s="194">
        <v>0.58099999999999996</v>
      </c>
      <c r="F99" s="194">
        <v>0.57099999999999995</v>
      </c>
      <c r="G99" s="194">
        <v>14</v>
      </c>
      <c r="H99" s="194">
        <v>0.61299999999999999</v>
      </c>
      <c r="I99" s="194">
        <v>0.66700000000000004</v>
      </c>
      <c r="J99" s="194">
        <v>12</v>
      </c>
      <c r="K99" s="194">
        <v>0.66700000000000004</v>
      </c>
      <c r="L99" s="194">
        <v>0.6</v>
      </c>
      <c r="M99" s="194">
        <v>5</v>
      </c>
      <c r="N99" s="194">
        <v>0.58799999999999997</v>
      </c>
      <c r="O99" s="194">
        <v>0.71399999999999997</v>
      </c>
      <c r="P99" s="194">
        <v>7</v>
      </c>
      <c r="Q99" s="194">
        <v>0.41199999999999998</v>
      </c>
      <c r="R99" s="194">
        <v>0.4</v>
      </c>
      <c r="S99" s="194">
        <v>5</v>
      </c>
      <c r="T99" s="194">
        <v>0.2</v>
      </c>
      <c r="U99" s="194">
        <v>0</v>
      </c>
      <c r="V99" s="194">
        <v>5</v>
      </c>
      <c r="W99" s="194"/>
      <c r="X99" s="194"/>
      <c r="Y99" s="194"/>
      <c r="Z99" s="194"/>
      <c r="AA99" s="194"/>
      <c r="AB99" s="194"/>
      <c r="AC99" s="194"/>
      <c r="AD99" s="194"/>
      <c r="AE99" s="194"/>
      <c r="AF99" s="194"/>
      <c r="AG99" s="194"/>
      <c r="AH99" s="194"/>
      <c r="AI99" s="194"/>
      <c r="AJ99" s="194"/>
      <c r="AK99" s="194"/>
      <c r="AL99" s="55"/>
      <c r="AM99" s="55"/>
      <c r="AN99" s="55"/>
      <c r="AO99" s="55"/>
      <c r="AP99" s="55"/>
      <c r="AQ99" s="55"/>
      <c r="AR99" s="55"/>
      <c r="AS99" s="55"/>
      <c r="AT99" s="55"/>
      <c r="AU99" s="55"/>
      <c r="AV99" s="55"/>
      <c r="AW99" s="55"/>
      <c r="AX99" s="55"/>
      <c r="AY99" s="55"/>
      <c r="AZ99" s="55"/>
      <c r="BA99" s="55"/>
      <c r="BB99" s="55"/>
      <c r="BC99" s="55"/>
      <c r="BD99" s="55"/>
      <c r="BE99" s="55"/>
      <c r="BF99" s="55"/>
      <c r="BG99" s="55"/>
      <c r="BH99" s="55"/>
      <c r="BI99" s="55"/>
    </row>
    <row r="100" spans="1:61" x14ac:dyDescent="0.3">
      <c r="A100" s="193" t="s">
        <v>341</v>
      </c>
      <c r="B100" s="194">
        <v>0.70299999999999996</v>
      </c>
      <c r="C100" s="194">
        <v>0.71099999999999997</v>
      </c>
      <c r="D100" s="194">
        <v>38</v>
      </c>
      <c r="E100" s="194">
        <v>0.67600000000000005</v>
      </c>
      <c r="F100" s="194">
        <v>0.69399999999999995</v>
      </c>
      <c r="G100" s="194">
        <v>36</v>
      </c>
      <c r="H100" s="194">
        <v>0.66700000000000004</v>
      </c>
      <c r="I100" s="194">
        <v>0.60699999999999998</v>
      </c>
      <c r="J100" s="194">
        <v>28</v>
      </c>
      <c r="K100" s="194">
        <v>0.63100000000000001</v>
      </c>
      <c r="L100" s="194">
        <v>0.69599999999999995</v>
      </c>
      <c r="M100" s="194">
        <v>23</v>
      </c>
      <c r="N100" s="194">
        <v>0.624</v>
      </c>
      <c r="O100" s="194">
        <v>0.60599999999999998</v>
      </c>
      <c r="P100" s="194">
        <v>33</v>
      </c>
      <c r="Q100" s="194">
        <v>0.60799999999999998</v>
      </c>
      <c r="R100" s="194">
        <v>0.58599999999999997</v>
      </c>
      <c r="S100" s="194">
        <v>29</v>
      </c>
      <c r="T100" s="194">
        <v>0.60899999999999999</v>
      </c>
      <c r="U100" s="194">
        <v>0.629</v>
      </c>
      <c r="V100" s="194">
        <v>35</v>
      </c>
      <c r="W100" s="194"/>
      <c r="X100" s="194"/>
      <c r="Y100" s="194"/>
      <c r="Z100" s="194"/>
      <c r="AA100" s="194"/>
      <c r="AB100" s="194"/>
      <c r="AC100" s="194"/>
      <c r="AD100" s="194"/>
      <c r="AE100" s="194"/>
      <c r="AF100" s="194"/>
      <c r="AG100" s="194"/>
      <c r="AH100" s="194"/>
      <c r="AI100" s="194"/>
      <c r="AJ100" s="194"/>
      <c r="AK100" s="194"/>
      <c r="AL100" s="55"/>
      <c r="AM100" s="55"/>
      <c r="AN100" s="55"/>
      <c r="AO100" s="55"/>
      <c r="AP100" s="55"/>
      <c r="AQ100" s="55"/>
      <c r="AR100" s="55"/>
      <c r="AS100" s="55"/>
      <c r="AT100" s="55"/>
      <c r="AU100" s="55"/>
      <c r="AV100" s="55"/>
      <c r="AW100" s="55"/>
      <c r="AX100" s="55"/>
      <c r="AY100" s="55"/>
      <c r="AZ100" s="55"/>
      <c r="BA100" s="55"/>
      <c r="BB100" s="55"/>
      <c r="BC100" s="55"/>
      <c r="BD100" s="55"/>
      <c r="BE100" s="55"/>
      <c r="BF100" s="55"/>
      <c r="BG100" s="55"/>
      <c r="BH100" s="55"/>
      <c r="BI100" s="55"/>
    </row>
    <row r="101" spans="1:61" x14ac:dyDescent="0.3">
      <c r="A101" s="193" t="s">
        <v>423</v>
      </c>
      <c r="B101" s="194">
        <v>0.72</v>
      </c>
      <c r="C101" s="194">
        <v>0.86699999999999999</v>
      </c>
      <c r="D101" s="194">
        <v>15</v>
      </c>
      <c r="E101" s="194">
        <v>0.56799999999999995</v>
      </c>
      <c r="F101" s="194">
        <v>0.5</v>
      </c>
      <c r="G101" s="194">
        <v>10</v>
      </c>
      <c r="H101" s="194">
        <v>0.42399999999999999</v>
      </c>
      <c r="I101" s="194">
        <v>0.25</v>
      </c>
      <c r="J101" s="194">
        <v>12</v>
      </c>
      <c r="K101" s="194">
        <v>0.47099999999999997</v>
      </c>
      <c r="L101" s="194">
        <v>0.54500000000000004</v>
      </c>
      <c r="M101" s="194">
        <v>11</v>
      </c>
      <c r="N101" s="194">
        <v>0.67600000000000005</v>
      </c>
      <c r="O101" s="194">
        <v>0.63600000000000001</v>
      </c>
      <c r="P101" s="194">
        <v>11</v>
      </c>
      <c r="Q101" s="194">
        <v>0.6</v>
      </c>
      <c r="R101" s="194">
        <v>0.83299999999999996</v>
      </c>
      <c r="S101" s="194">
        <v>12</v>
      </c>
      <c r="T101" s="194">
        <v>0.58799999999999997</v>
      </c>
      <c r="U101" s="194">
        <v>0.45500000000000002</v>
      </c>
      <c r="V101" s="194">
        <v>22</v>
      </c>
      <c r="W101" s="194"/>
      <c r="X101" s="194"/>
      <c r="Y101" s="194"/>
      <c r="Z101" s="194"/>
      <c r="AA101" s="194"/>
      <c r="AB101" s="194"/>
      <c r="AC101" s="194"/>
      <c r="AD101" s="194"/>
      <c r="AE101" s="194"/>
      <c r="AF101" s="194"/>
      <c r="AG101" s="194"/>
      <c r="AH101" s="194"/>
      <c r="AI101" s="194"/>
      <c r="AJ101" s="194"/>
      <c r="AK101" s="194"/>
      <c r="AL101" s="55"/>
      <c r="AM101" s="55"/>
      <c r="AN101" s="55"/>
      <c r="AO101" s="55"/>
      <c r="AP101" s="55"/>
      <c r="AQ101" s="55"/>
      <c r="AR101" s="55"/>
      <c r="AS101" s="55"/>
      <c r="AT101" s="55"/>
      <c r="AU101" s="55"/>
      <c r="AV101" s="55"/>
      <c r="AW101" s="55"/>
      <c r="AX101" s="55"/>
      <c r="AY101" s="55"/>
      <c r="AZ101" s="55"/>
      <c r="BA101" s="55"/>
      <c r="BB101" s="55"/>
      <c r="BC101" s="55"/>
      <c r="BD101" s="55"/>
      <c r="BE101" s="55"/>
      <c r="BF101" s="55"/>
      <c r="BG101" s="55"/>
      <c r="BH101" s="55"/>
      <c r="BI101" s="55"/>
    </row>
    <row r="102" spans="1:61" x14ac:dyDescent="0.3">
      <c r="A102" s="193" t="s">
        <v>374</v>
      </c>
      <c r="B102" s="194">
        <v>0.67300000000000004</v>
      </c>
      <c r="C102" s="194">
        <v>0.85699999999999998</v>
      </c>
      <c r="D102" s="194">
        <v>28</v>
      </c>
      <c r="E102" s="194">
        <v>0.68100000000000005</v>
      </c>
      <c r="F102" s="194">
        <v>0.42899999999999999</v>
      </c>
      <c r="G102" s="194">
        <v>21</v>
      </c>
      <c r="H102" s="194">
        <v>0.61399999999999999</v>
      </c>
      <c r="I102" s="194">
        <v>0.7</v>
      </c>
      <c r="J102" s="194">
        <v>20</v>
      </c>
      <c r="K102" s="194">
        <v>0.69599999999999995</v>
      </c>
      <c r="L102" s="194">
        <v>0.69</v>
      </c>
      <c r="M102" s="194">
        <v>29</v>
      </c>
      <c r="N102" s="194">
        <v>0.74399999999999999</v>
      </c>
      <c r="O102" s="194">
        <v>0.7</v>
      </c>
      <c r="P102" s="194">
        <v>20</v>
      </c>
      <c r="Q102" s="194">
        <v>0.74</v>
      </c>
      <c r="R102" s="194">
        <v>0.82799999999999996</v>
      </c>
      <c r="S102" s="194">
        <v>29</v>
      </c>
      <c r="T102" s="194">
        <v>0.754</v>
      </c>
      <c r="U102" s="194">
        <v>0.67900000000000005</v>
      </c>
      <c r="V102" s="194">
        <v>28</v>
      </c>
      <c r="W102" s="194"/>
      <c r="X102" s="194"/>
      <c r="Y102" s="194"/>
      <c r="Z102" s="194"/>
      <c r="AA102" s="194"/>
      <c r="AB102" s="194"/>
      <c r="AC102" s="194"/>
      <c r="AD102" s="194"/>
      <c r="AE102" s="194"/>
      <c r="AF102" s="194"/>
      <c r="AG102" s="194"/>
      <c r="AH102" s="194"/>
      <c r="AI102" s="194"/>
      <c r="AJ102" s="194"/>
      <c r="AK102" s="194"/>
      <c r="AL102" s="55"/>
      <c r="AM102" s="55"/>
      <c r="AN102" s="55"/>
      <c r="AO102" s="55"/>
      <c r="AP102" s="55"/>
      <c r="AQ102" s="55"/>
      <c r="AR102" s="55"/>
      <c r="AS102" s="55"/>
      <c r="AT102" s="55"/>
      <c r="AU102" s="55"/>
      <c r="AV102" s="55"/>
      <c r="AW102" s="55"/>
      <c r="AX102" s="55"/>
      <c r="AY102" s="55"/>
      <c r="AZ102" s="55"/>
      <c r="BA102" s="55"/>
      <c r="BB102" s="55"/>
      <c r="BC102" s="55"/>
      <c r="BD102" s="55"/>
      <c r="BE102" s="55"/>
      <c r="BF102" s="55"/>
      <c r="BG102" s="55"/>
      <c r="BH102" s="55"/>
      <c r="BI102" s="55"/>
    </row>
    <row r="103" spans="1:61" x14ac:dyDescent="0.3">
      <c r="A103" s="193" t="s">
        <v>512</v>
      </c>
      <c r="B103" s="194">
        <v>0.36599999999999999</v>
      </c>
      <c r="C103" s="194">
        <v>0.34599999999999997</v>
      </c>
      <c r="D103" s="194">
        <v>26</v>
      </c>
      <c r="E103" s="194">
        <v>0.33300000000000002</v>
      </c>
      <c r="F103" s="194">
        <v>0.4</v>
      </c>
      <c r="G103" s="194">
        <v>15</v>
      </c>
      <c r="H103" s="194">
        <v>0.45</v>
      </c>
      <c r="I103" s="194">
        <v>0.25</v>
      </c>
      <c r="J103" s="194">
        <v>16</v>
      </c>
      <c r="K103" s="194">
        <v>0.52900000000000003</v>
      </c>
      <c r="L103" s="194">
        <v>0.58599999999999997</v>
      </c>
      <c r="M103" s="194">
        <v>29</v>
      </c>
      <c r="N103" s="194">
        <v>0.66300000000000003</v>
      </c>
      <c r="O103" s="194">
        <v>0.65200000000000002</v>
      </c>
      <c r="P103" s="194">
        <v>23</v>
      </c>
      <c r="Q103" s="194">
        <v>0.6</v>
      </c>
      <c r="R103" s="194">
        <v>0.73</v>
      </c>
      <c r="S103" s="194">
        <v>37</v>
      </c>
      <c r="T103" s="194">
        <v>0.58099999999999996</v>
      </c>
      <c r="U103" s="194">
        <v>0.36</v>
      </c>
      <c r="V103" s="194">
        <v>25</v>
      </c>
      <c r="W103" s="194"/>
      <c r="X103" s="194"/>
      <c r="Y103" s="194"/>
      <c r="Z103" s="194"/>
      <c r="AA103" s="194"/>
      <c r="AB103" s="194"/>
      <c r="AC103" s="194"/>
      <c r="AD103" s="194"/>
      <c r="AE103" s="194"/>
      <c r="AF103" s="194"/>
      <c r="AG103" s="194"/>
      <c r="AH103" s="194"/>
      <c r="AI103" s="194"/>
      <c r="AJ103" s="194"/>
      <c r="AK103" s="194"/>
      <c r="AL103" s="55"/>
      <c r="AM103" s="55"/>
      <c r="AN103" s="55"/>
      <c r="AO103" s="55"/>
      <c r="AP103" s="55"/>
      <c r="AQ103" s="55"/>
      <c r="AR103" s="55"/>
      <c r="AS103" s="55"/>
      <c r="AT103" s="55"/>
      <c r="AU103" s="55"/>
      <c r="AV103" s="55"/>
      <c r="AW103" s="55"/>
      <c r="AX103" s="55"/>
      <c r="AY103" s="55"/>
      <c r="AZ103" s="55"/>
      <c r="BA103" s="55"/>
      <c r="BB103" s="55"/>
      <c r="BC103" s="55"/>
      <c r="BD103" s="55"/>
      <c r="BE103" s="55"/>
      <c r="BF103" s="55"/>
      <c r="BG103" s="55"/>
      <c r="BH103" s="55"/>
      <c r="BI103" s="55"/>
    </row>
    <row r="104" spans="1:61" x14ac:dyDescent="0.3">
      <c r="A104" s="193" t="s">
        <v>528</v>
      </c>
      <c r="B104" s="194">
        <v>0.52</v>
      </c>
      <c r="C104" s="194">
        <v>0.68799999999999994</v>
      </c>
      <c r="D104" s="194">
        <v>32</v>
      </c>
      <c r="E104" s="194">
        <v>0.45900000000000002</v>
      </c>
      <c r="F104" s="194">
        <v>0.222</v>
      </c>
      <c r="G104" s="194">
        <v>18</v>
      </c>
      <c r="H104" s="194">
        <v>0.39700000000000002</v>
      </c>
      <c r="I104" s="194">
        <v>0.33300000000000002</v>
      </c>
      <c r="J104" s="194">
        <v>24</v>
      </c>
      <c r="K104" s="194">
        <v>0.44700000000000001</v>
      </c>
      <c r="L104" s="194">
        <v>0.57699999999999996</v>
      </c>
      <c r="M104" s="194">
        <v>26</v>
      </c>
      <c r="N104" s="194">
        <v>0.59</v>
      </c>
      <c r="O104" s="194">
        <v>0.42299999999999999</v>
      </c>
      <c r="P104" s="194">
        <v>26</v>
      </c>
      <c r="Q104" s="194">
        <v>0.57499999999999996</v>
      </c>
      <c r="R104" s="194">
        <v>0.76900000000000002</v>
      </c>
      <c r="S104" s="194">
        <v>26</v>
      </c>
      <c r="T104" s="194">
        <v>0.64800000000000002</v>
      </c>
      <c r="U104" s="194">
        <v>0.53600000000000003</v>
      </c>
      <c r="V104" s="194">
        <v>28</v>
      </c>
      <c r="W104" s="194"/>
      <c r="X104" s="194"/>
      <c r="Y104" s="194"/>
      <c r="Z104" s="194"/>
      <c r="AA104" s="194"/>
      <c r="AB104" s="194"/>
      <c r="AC104" s="194"/>
      <c r="AD104" s="194"/>
      <c r="AE104" s="194"/>
      <c r="AF104" s="194"/>
      <c r="AG104" s="194"/>
      <c r="AH104" s="194"/>
      <c r="AI104" s="194"/>
      <c r="AJ104" s="194"/>
      <c r="AK104" s="194"/>
      <c r="AL104" s="55"/>
      <c r="AM104" s="55"/>
      <c r="AN104" s="55"/>
      <c r="AO104" s="55"/>
      <c r="AP104" s="55"/>
      <c r="AQ104" s="55"/>
      <c r="AR104" s="55"/>
      <c r="AS104" s="55"/>
      <c r="AT104" s="55"/>
      <c r="AU104" s="55"/>
      <c r="AV104" s="55"/>
      <c r="AW104" s="55"/>
      <c r="AX104" s="55"/>
      <c r="AY104" s="55"/>
      <c r="AZ104" s="55"/>
      <c r="BA104" s="55"/>
      <c r="BB104" s="55"/>
      <c r="BC104" s="55"/>
      <c r="BD104" s="55"/>
      <c r="BE104" s="55"/>
      <c r="BF104" s="55"/>
      <c r="BG104" s="55"/>
      <c r="BH104" s="55"/>
      <c r="BI104" s="55"/>
    </row>
    <row r="105" spans="1:61" x14ac:dyDescent="0.3">
      <c r="A105" s="193" t="s">
        <v>400</v>
      </c>
      <c r="B105" s="194">
        <v>0.57099999999999995</v>
      </c>
      <c r="C105" s="194">
        <v>0.625</v>
      </c>
      <c r="D105" s="194">
        <v>16</v>
      </c>
      <c r="E105" s="194">
        <v>0.53500000000000003</v>
      </c>
      <c r="F105" s="194">
        <v>0.5</v>
      </c>
      <c r="G105" s="194">
        <v>12</v>
      </c>
      <c r="H105" s="194">
        <v>0.51400000000000001</v>
      </c>
      <c r="I105" s="194">
        <v>0.46700000000000003</v>
      </c>
      <c r="J105" s="194">
        <v>15</v>
      </c>
      <c r="K105" s="194">
        <v>0.61699999999999999</v>
      </c>
      <c r="L105" s="194">
        <v>0.6</v>
      </c>
      <c r="M105" s="194">
        <v>10</v>
      </c>
      <c r="N105" s="194">
        <v>0.68100000000000005</v>
      </c>
      <c r="O105" s="194">
        <v>0.72699999999999998</v>
      </c>
      <c r="P105" s="194">
        <v>22</v>
      </c>
      <c r="Q105" s="194">
        <v>0.68200000000000005</v>
      </c>
      <c r="R105" s="194">
        <v>0.66700000000000004</v>
      </c>
      <c r="S105" s="194">
        <v>15</v>
      </c>
      <c r="T105" s="194">
        <v>0.63600000000000001</v>
      </c>
      <c r="U105" s="194">
        <v>0.57099999999999995</v>
      </c>
      <c r="V105" s="194">
        <v>7</v>
      </c>
      <c r="W105" s="194"/>
      <c r="X105" s="194"/>
      <c r="Y105" s="194"/>
      <c r="Z105" s="194"/>
      <c r="AA105" s="194"/>
      <c r="AB105" s="194"/>
      <c r="AC105" s="194"/>
      <c r="AD105" s="194"/>
      <c r="AE105" s="194"/>
      <c r="AF105" s="194"/>
      <c r="AG105" s="194"/>
      <c r="AH105" s="194"/>
      <c r="AI105" s="194"/>
      <c r="AJ105" s="194"/>
      <c r="AK105" s="194"/>
      <c r="AL105" s="55"/>
      <c r="AM105" s="55"/>
      <c r="AN105" s="55"/>
      <c r="AO105" s="55"/>
      <c r="AP105" s="55"/>
      <c r="AQ105" s="55"/>
      <c r="AR105" s="55"/>
      <c r="AS105" s="55"/>
      <c r="AT105" s="55"/>
      <c r="AU105" s="55"/>
      <c r="AV105" s="55"/>
      <c r="AW105" s="55"/>
      <c r="AX105" s="55"/>
      <c r="AY105" s="55"/>
      <c r="AZ105" s="55"/>
      <c r="BA105" s="55"/>
      <c r="BB105" s="55"/>
      <c r="BC105" s="55"/>
      <c r="BD105" s="55"/>
      <c r="BE105" s="55"/>
      <c r="BF105" s="55"/>
      <c r="BG105" s="55"/>
      <c r="BH105" s="55"/>
      <c r="BI105" s="55"/>
    </row>
    <row r="106" spans="1:61" x14ac:dyDescent="0.3">
      <c r="A106" s="193" t="s">
        <v>540</v>
      </c>
      <c r="B106" s="194">
        <v>0.74299999999999999</v>
      </c>
      <c r="C106" s="194">
        <v>0.8</v>
      </c>
      <c r="D106" s="194">
        <v>20</v>
      </c>
      <c r="E106" s="194">
        <v>0.77800000000000002</v>
      </c>
      <c r="F106" s="194">
        <v>0.66700000000000004</v>
      </c>
      <c r="G106" s="194">
        <v>15</v>
      </c>
      <c r="H106" s="194">
        <v>0.81100000000000005</v>
      </c>
      <c r="I106" s="194">
        <v>0.9</v>
      </c>
      <c r="J106" s="194">
        <v>10</v>
      </c>
      <c r="K106" s="194">
        <v>0.82399999999999995</v>
      </c>
      <c r="L106" s="194">
        <v>0.91700000000000004</v>
      </c>
      <c r="M106" s="194">
        <v>12</v>
      </c>
      <c r="N106" s="194">
        <v>0.77100000000000002</v>
      </c>
      <c r="O106" s="194">
        <v>0.66700000000000004</v>
      </c>
      <c r="P106" s="194">
        <v>12</v>
      </c>
      <c r="Q106" s="194">
        <v>0.68799999999999994</v>
      </c>
      <c r="R106" s="194">
        <v>0.72699999999999998</v>
      </c>
      <c r="S106" s="194">
        <v>11</v>
      </c>
      <c r="T106" s="194">
        <v>0.7</v>
      </c>
      <c r="U106" s="194">
        <v>0.66700000000000004</v>
      </c>
      <c r="V106" s="194">
        <v>9</v>
      </c>
      <c r="W106" s="194"/>
      <c r="X106" s="194"/>
      <c r="Y106" s="194"/>
      <c r="Z106" s="194"/>
      <c r="AA106" s="194"/>
      <c r="AB106" s="194"/>
      <c r="AC106" s="194"/>
      <c r="AD106" s="194"/>
      <c r="AE106" s="194"/>
      <c r="AF106" s="194"/>
      <c r="AG106" s="194"/>
      <c r="AH106" s="194"/>
      <c r="AI106" s="194"/>
      <c r="AJ106" s="194"/>
      <c r="AK106" s="194"/>
      <c r="AL106" s="55"/>
      <c r="AM106" s="55"/>
      <c r="AN106" s="55"/>
      <c r="AO106" s="55"/>
      <c r="AP106" s="55"/>
      <c r="AQ106" s="55"/>
      <c r="AR106" s="55"/>
      <c r="AS106" s="55"/>
      <c r="AT106" s="55"/>
      <c r="AU106" s="55"/>
      <c r="AV106" s="55"/>
      <c r="AW106" s="55"/>
      <c r="AX106" s="55"/>
      <c r="AY106" s="55"/>
      <c r="AZ106" s="55"/>
      <c r="BA106" s="55"/>
      <c r="BB106" s="55"/>
      <c r="BC106" s="55"/>
      <c r="BD106" s="55"/>
      <c r="BE106" s="55"/>
      <c r="BF106" s="55"/>
      <c r="BG106" s="55"/>
      <c r="BH106" s="55"/>
      <c r="BI106" s="55"/>
    </row>
    <row r="107" spans="1:61" x14ac:dyDescent="0.3">
      <c r="A107" s="193" t="s">
        <v>337</v>
      </c>
      <c r="B107" s="194">
        <v>0.73699999999999999</v>
      </c>
      <c r="C107" s="194">
        <v>0.85699999999999998</v>
      </c>
      <c r="D107" s="194">
        <v>7</v>
      </c>
      <c r="E107" s="194">
        <v>0.70399999999999996</v>
      </c>
      <c r="F107" s="194">
        <v>0.66700000000000004</v>
      </c>
      <c r="G107" s="194">
        <v>12</v>
      </c>
      <c r="H107" s="194">
        <v>0.65400000000000003</v>
      </c>
      <c r="I107" s="194">
        <v>0.625</v>
      </c>
      <c r="J107" s="194">
        <v>8</v>
      </c>
      <c r="K107" s="194">
        <v>0.70799999999999996</v>
      </c>
      <c r="L107" s="194">
        <v>0.66700000000000004</v>
      </c>
      <c r="M107" s="194">
        <v>6</v>
      </c>
      <c r="N107" s="194">
        <v>0.59399999999999997</v>
      </c>
      <c r="O107" s="194">
        <v>0.8</v>
      </c>
      <c r="P107" s="194">
        <v>10</v>
      </c>
      <c r="Q107" s="194">
        <v>0.59099999999999997</v>
      </c>
      <c r="R107" s="194">
        <v>0.438</v>
      </c>
      <c r="S107" s="194">
        <v>16</v>
      </c>
      <c r="T107" s="194">
        <v>0.52900000000000003</v>
      </c>
      <c r="U107" s="194">
        <v>0.61099999999999999</v>
      </c>
      <c r="V107" s="194">
        <v>18</v>
      </c>
      <c r="W107" s="194"/>
      <c r="X107" s="194"/>
      <c r="Y107" s="194"/>
      <c r="Z107" s="194"/>
      <c r="AA107" s="194"/>
      <c r="AB107" s="194"/>
      <c r="AC107" s="194"/>
      <c r="AD107" s="194"/>
      <c r="AE107" s="194"/>
      <c r="AF107" s="194"/>
      <c r="AG107" s="194"/>
      <c r="AH107" s="194"/>
      <c r="AI107" s="194"/>
      <c r="AJ107" s="194"/>
      <c r="AK107" s="194"/>
      <c r="AL107" s="55"/>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row>
    <row r="108" spans="1:61" x14ac:dyDescent="0.3">
      <c r="A108" s="193" t="s">
        <v>482</v>
      </c>
      <c r="B108" s="194">
        <v>0.70199999999999996</v>
      </c>
      <c r="C108" s="194">
        <v>0.78800000000000003</v>
      </c>
      <c r="D108" s="194">
        <v>33</v>
      </c>
      <c r="E108" s="194">
        <v>0.67</v>
      </c>
      <c r="F108" s="194">
        <v>0.58299999999999996</v>
      </c>
      <c r="G108" s="194">
        <v>24</v>
      </c>
      <c r="H108" s="194">
        <v>0.57699999999999996</v>
      </c>
      <c r="I108" s="194">
        <v>0.61299999999999999</v>
      </c>
      <c r="J108" s="194">
        <v>31</v>
      </c>
      <c r="K108" s="194">
        <v>0.59299999999999997</v>
      </c>
      <c r="L108" s="194">
        <v>0.52200000000000002</v>
      </c>
      <c r="M108" s="194">
        <v>23</v>
      </c>
      <c r="N108" s="194">
        <v>0.59</v>
      </c>
      <c r="O108" s="194">
        <v>0.63</v>
      </c>
      <c r="P108" s="194">
        <v>27</v>
      </c>
      <c r="Q108" s="194">
        <v>0.66300000000000003</v>
      </c>
      <c r="R108" s="194">
        <v>0.60699999999999998</v>
      </c>
      <c r="S108" s="194">
        <v>28</v>
      </c>
      <c r="T108" s="194">
        <v>0.67700000000000005</v>
      </c>
      <c r="U108" s="194">
        <v>0.73499999999999999</v>
      </c>
      <c r="V108" s="194">
        <v>34</v>
      </c>
      <c r="W108" s="194"/>
      <c r="X108" s="194"/>
      <c r="Y108" s="194"/>
      <c r="Z108" s="194"/>
      <c r="AA108" s="194"/>
      <c r="AB108" s="194"/>
      <c r="AC108" s="194"/>
      <c r="AD108" s="194"/>
      <c r="AE108" s="194"/>
      <c r="AF108" s="194"/>
      <c r="AG108" s="194"/>
      <c r="AH108" s="194"/>
      <c r="AI108" s="194"/>
      <c r="AJ108" s="194"/>
      <c r="AK108" s="194"/>
      <c r="AL108" s="55"/>
      <c r="AM108" s="55"/>
      <c r="AN108" s="55"/>
      <c r="AO108" s="55"/>
      <c r="AP108" s="55"/>
      <c r="AQ108" s="55"/>
      <c r="AR108" s="55"/>
      <c r="AS108" s="55"/>
      <c r="AT108" s="55"/>
      <c r="AU108" s="55"/>
      <c r="AV108" s="55"/>
      <c r="AW108" s="55"/>
      <c r="AX108" s="55"/>
      <c r="AY108" s="55"/>
      <c r="AZ108" s="55"/>
      <c r="BA108" s="55"/>
      <c r="BB108" s="55"/>
      <c r="BC108" s="55"/>
      <c r="BD108" s="55"/>
      <c r="BE108" s="55"/>
      <c r="BF108" s="55"/>
      <c r="BG108" s="55"/>
      <c r="BH108" s="55"/>
      <c r="BI108" s="55"/>
    </row>
    <row r="109" spans="1:61" x14ac:dyDescent="0.3">
      <c r="A109" s="193" t="s">
        <v>546</v>
      </c>
      <c r="B109" s="194">
        <v>0.72099999999999997</v>
      </c>
      <c r="C109" s="194">
        <v>0.75</v>
      </c>
      <c r="D109" s="194">
        <v>16</v>
      </c>
      <c r="E109" s="194">
        <v>0.66700000000000004</v>
      </c>
      <c r="F109" s="194">
        <v>0.70399999999999996</v>
      </c>
      <c r="G109" s="194">
        <v>27</v>
      </c>
      <c r="H109" s="194">
        <v>0.67100000000000004</v>
      </c>
      <c r="I109" s="194">
        <v>0.58599999999999997</v>
      </c>
      <c r="J109" s="194">
        <v>29</v>
      </c>
      <c r="K109" s="194">
        <v>0.61</v>
      </c>
      <c r="L109" s="194">
        <v>0.73099999999999998</v>
      </c>
      <c r="M109" s="194">
        <v>26</v>
      </c>
      <c r="N109" s="194">
        <v>0.65300000000000002</v>
      </c>
      <c r="O109" s="194">
        <v>0.51900000000000002</v>
      </c>
      <c r="P109" s="194">
        <v>27</v>
      </c>
      <c r="Q109" s="194">
        <v>0.625</v>
      </c>
      <c r="R109" s="194">
        <v>0.72699999999999998</v>
      </c>
      <c r="S109" s="194">
        <v>22</v>
      </c>
      <c r="T109" s="194">
        <v>0.72399999999999998</v>
      </c>
      <c r="U109" s="194">
        <v>0.71399999999999997</v>
      </c>
      <c r="V109" s="194">
        <v>7</v>
      </c>
      <c r="W109" s="194"/>
      <c r="X109" s="194"/>
      <c r="Y109" s="194"/>
      <c r="Z109" s="194"/>
      <c r="AA109" s="194"/>
      <c r="AB109" s="194"/>
      <c r="AC109" s="194"/>
      <c r="AD109" s="194"/>
      <c r="AE109" s="194"/>
      <c r="AF109" s="194"/>
      <c r="AG109" s="194"/>
      <c r="AH109" s="194"/>
      <c r="AI109" s="194"/>
      <c r="AJ109" s="194"/>
      <c r="AK109" s="194"/>
      <c r="AL109" s="55"/>
      <c r="AM109" s="55"/>
      <c r="AN109" s="55"/>
      <c r="AO109" s="55"/>
      <c r="AP109" s="55"/>
      <c r="AQ109" s="55"/>
      <c r="AR109" s="55"/>
      <c r="AS109" s="55"/>
      <c r="AT109" s="55"/>
      <c r="AU109" s="55"/>
      <c r="AV109" s="55"/>
      <c r="AW109" s="55"/>
      <c r="AX109" s="55"/>
      <c r="AY109" s="55"/>
      <c r="AZ109" s="55"/>
      <c r="BA109" s="55"/>
      <c r="BB109" s="55"/>
      <c r="BC109" s="55"/>
      <c r="BD109" s="55"/>
      <c r="BE109" s="55"/>
      <c r="BF109" s="55"/>
      <c r="BG109" s="55"/>
      <c r="BH109" s="55"/>
      <c r="BI109" s="55"/>
    </row>
    <row r="110" spans="1:61" x14ac:dyDescent="0.3">
      <c r="A110" s="193" t="s">
        <v>538</v>
      </c>
      <c r="B110" s="194">
        <v>0.67900000000000005</v>
      </c>
      <c r="C110" s="194">
        <v>0.75</v>
      </c>
      <c r="D110" s="194">
        <v>12</v>
      </c>
      <c r="E110" s="194">
        <v>0.70299999999999996</v>
      </c>
      <c r="F110" s="194">
        <v>0.625</v>
      </c>
      <c r="G110" s="194">
        <v>16</v>
      </c>
      <c r="H110" s="194">
        <v>0.70599999999999996</v>
      </c>
      <c r="I110" s="194">
        <v>0.77800000000000002</v>
      </c>
      <c r="J110" s="194">
        <v>9</v>
      </c>
      <c r="K110" s="194">
        <v>0.68200000000000005</v>
      </c>
      <c r="L110" s="194">
        <v>0.77800000000000002</v>
      </c>
      <c r="M110" s="194">
        <v>9</v>
      </c>
      <c r="N110" s="194">
        <v>0.64300000000000002</v>
      </c>
      <c r="O110" s="194">
        <v>0.25</v>
      </c>
      <c r="P110" s="194">
        <v>4</v>
      </c>
      <c r="Q110" s="194">
        <v>0.42899999999999999</v>
      </c>
      <c r="R110" s="194">
        <v>1</v>
      </c>
      <c r="S110" s="194">
        <v>1</v>
      </c>
      <c r="T110" s="194">
        <v>0.66700000000000004</v>
      </c>
      <c r="U110" s="194">
        <v>0.5</v>
      </c>
      <c r="V110" s="194">
        <v>2</v>
      </c>
      <c r="W110" s="194"/>
      <c r="X110" s="194"/>
      <c r="Y110" s="194"/>
      <c r="Z110" s="194"/>
      <c r="AA110" s="194"/>
      <c r="AB110" s="194"/>
      <c r="AC110" s="194"/>
      <c r="AD110" s="194"/>
      <c r="AE110" s="194"/>
      <c r="AF110" s="194"/>
      <c r="AG110" s="194"/>
      <c r="AH110" s="194"/>
      <c r="AI110" s="194"/>
      <c r="AJ110" s="194"/>
      <c r="AK110" s="194"/>
      <c r="AL110" s="55"/>
      <c r="AM110" s="55"/>
      <c r="AN110" s="55"/>
      <c r="AO110" s="55"/>
      <c r="AP110" s="55"/>
      <c r="AQ110" s="55"/>
      <c r="AR110" s="55"/>
      <c r="AS110" s="55"/>
      <c r="AT110" s="55"/>
      <c r="AU110" s="55"/>
      <c r="AV110" s="55"/>
      <c r="AW110" s="55"/>
      <c r="AX110" s="55"/>
      <c r="AY110" s="55"/>
      <c r="AZ110" s="55"/>
      <c r="BA110" s="55"/>
      <c r="BB110" s="55"/>
      <c r="BC110" s="55"/>
      <c r="BD110" s="55"/>
      <c r="BE110" s="55"/>
      <c r="BF110" s="55"/>
      <c r="BG110" s="55"/>
      <c r="BH110" s="55"/>
      <c r="BI110" s="55"/>
    </row>
    <row r="111" spans="1:61" x14ac:dyDescent="0.3">
      <c r="A111" s="193" t="s">
        <v>303</v>
      </c>
      <c r="B111" s="194">
        <v>0.73</v>
      </c>
      <c r="C111" s="194">
        <v>0.70599999999999996</v>
      </c>
      <c r="D111" s="194">
        <v>17</v>
      </c>
      <c r="E111" s="194">
        <v>0.72199999999999998</v>
      </c>
      <c r="F111" s="194">
        <v>0.75</v>
      </c>
      <c r="G111" s="194">
        <v>20</v>
      </c>
      <c r="H111" s="194">
        <v>0.72099999999999997</v>
      </c>
      <c r="I111" s="194">
        <v>0.70599999999999996</v>
      </c>
      <c r="J111" s="194">
        <v>17</v>
      </c>
      <c r="K111" s="194">
        <v>0.72099999999999997</v>
      </c>
      <c r="L111" s="194">
        <v>0.70799999999999996</v>
      </c>
      <c r="M111" s="194">
        <v>24</v>
      </c>
      <c r="N111" s="194">
        <v>0.73699999999999999</v>
      </c>
      <c r="O111" s="194">
        <v>0.75</v>
      </c>
      <c r="P111" s="194">
        <v>20</v>
      </c>
      <c r="Q111" s="194">
        <v>0.8</v>
      </c>
      <c r="R111" s="194">
        <v>0.76900000000000002</v>
      </c>
      <c r="S111" s="194">
        <v>13</v>
      </c>
      <c r="T111" s="194">
        <v>0.85</v>
      </c>
      <c r="U111" s="194">
        <v>1</v>
      </c>
      <c r="V111" s="194">
        <v>7</v>
      </c>
      <c r="W111" s="194"/>
      <c r="X111" s="194"/>
      <c r="Y111" s="194"/>
      <c r="Z111" s="194"/>
      <c r="AA111" s="194"/>
      <c r="AB111" s="194"/>
      <c r="AC111" s="194"/>
      <c r="AD111" s="194"/>
      <c r="AE111" s="194"/>
      <c r="AF111" s="194"/>
      <c r="AG111" s="194"/>
      <c r="AH111" s="194"/>
      <c r="AI111" s="194"/>
      <c r="AJ111" s="194"/>
      <c r="AK111" s="194"/>
      <c r="AL111" s="55"/>
      <c r="AM111" s="55"/>
      <c r="AN111" s="55"/>
      <c r="AO111" s="55"/>
      <c r="AP111" s="55"/>
      <c r="AQ111" s="55"/>
      <c r="AR111" s="55"/>
      <c r="AS111" s="55"/>
      <c r="AT111" s="55"/>
      <c r="AU111" s="55"/>
      <c r="AV111" s="55"/>
      <c r="AW111" s="55"/>
      <c r="AX111" s="55"/>
      <c r="AY111" s="55"/>
      <c r="AZ111" s="55"/>
      <c r="BA111" s="55"/>
      <c r="BB111" s="55"/>
      <c r="BC111" s="55"/>
      <c r="BD111" s="55"/>
      <c r="BE111" s="55"/>
      <c r="BF111" s="55"/>
      <c r="BG111" s="55"/>
      <c r="BH111" s="55"/>
      <c r="BI111" s="55"/>
    </row>
    <row r="112" spans="1:61" x14ac:dyDescent="0.3">
      <c r="A112" s="193" t="s">
        <v>433</v>
      </c>
      <c r="B112" s="194">
        <v>0.59199999999999997</v>
      </c>
      <c r="C112" s="194">
        <v>0.75</v>
      </c>
      <c r="D112" s="194">
        <v>28</v>
      </c>
      <c r="E112" s="194">
        <v>0.57699999999999996</v>
      </c>
      <c r="F112" s="194">
        <v>0.38100000000000001</v>
      </c>
      <c r="G112" s="194">
        <v>21</v>
      </c>
      <c r="H112" s="194">
        <v>0.52400000000000002</v>
      </c>
      <c r="I112" s="194">
        <v>0.55200000000000005</v>
      </c>
      <c r="J112" s="194">
        <v>29</v>
      </c>
      <c r="K112" s="194">
        <v>0.55800000000000005</v>
      </c>
      <c r="L112" s="194">
        <v>0.59399999999999997</v>
      </c>
      <c r="M112" s="194">
        <v>32</v>
      </c>
      <c r="N112" s="194">
        <v>0.53500000000000003</v>
      </c>
      <c r="O112" s="194">
        <v>0.5</v>
      </c>
      <c r="P112" s="194">
        <v>16</v>
      </c>
      <c r="Q112" s="194">
        <v>0.56399999999999995</v>
      </c>
      <c r="R112" s="194">
        <v>0.47799999999999998</v>
      </c>
      <c r="S112" s="194">
        <v>23</v>
      </c>
      <c r="T112" s="194">
        <v>0.59</v>
      </c>
      <c r="U112" s="194">
        <v>0.75</v>
      </c>
      <c r="V112" s="194">
        <v>16</v>
      </c>
      <c r="W112" s="194"/>
      <c r="X112" s="194"/>
      <c r="Y112" s="194"/>
      <c r="Z112" s="194"/>
      <c r="AA112" s="194"/>
      <c r="AB112" s="194"/>
      <c r="AC112" s="194"/>
      <c r="AD112" s="194"/>
      <c r="AE112" s="194"/>
      <c r="AF112" s="194"/>
      <c r="AG112" s="194"/>
      <c r="AH112" s="194"/>
      <c r="AI112" s="194"/>
      <c r="AJ112" s="194"/>
      <c r="AK112" s="194"/>
      <c r="AL112" s="55"/>
      <c r="AM112" s="55"/>
      <c r="AN112" s="55"/>
      <c r="AO112" s="55"/>
      <c r="AP112" s="55"/>
      <c r="AQ112" s="55"/>
      <c r="AR112" s="55"/>
      <c r="AS112" s="55"/>
      <c r="AT112" s="55"/>
      <c r="AU112" s="55"/>
      <c r="AV112" s="55"/>
      <c r="AW112" s="55"/>
      <c r="AX112" s="55"/>
      <c r="AY112" s="55"/>
      <c r="AZ112" s="55"/>
      <c r="BA112" s="55"/>
      <c r="BB112" s="55"/>
      <c r="BC112" s="55"/>
      <c r="BD112" s="55"/>
      <c r="BE112" s="55"/>
      <c r="BF112" s="55"/>
      <c r="BG112" s="55"/>
      <c r="BH112" s="55"/>
      <c r="BI112" s="55"/>
    </row>
    <row r="113" spans="1:61" x14ac:dyDescent="0.3">
      <c r="A113" s="193" t="s">
        <v>348</v>
      </c>
      <c r="B113" s="194">
        <v>0.625</v>
      </c>
      <c r="C113" s="194">
        <v>0.66700000000000004</v>
      </c>
      <c r="D113" s="194">
        <v>12</v>
      </c>
      <c r="E113" s="194">
        <v>0.6</v>
      </c>
      <c r="F113" s="194">
        <v>0.6</v>
      </c>
      <c r="G113" s="194">
        <v>20</v>
      </c>
      <c r="H113" s="194">
        <v>0.64100000000000001</v>
      </c>
      <c r="I113" s="194">
        <v>0.56499999999999995</v>
      </c>
      <c r="J113" s="194">
        <v>23</v>
      </c>
      <c r="K113" s="194">
        <v>0.66700000000000004</v>
      </c>
      <c r="L113" s="194">
        <v>0.76200000000000001</v>
      </c>
      <c r="M113" s="194">
        <v>21</v>
      </c>
      <c r="N113" s="194">
        <v>0.75</v>
      </c>
      <c r="O113" s="194">
        <v>0.68799999999999994</v>
      </c>
      <c r="P113" s="194">
        <v>16</v>
      </c>
      <c r="Q113" s="194">
        <v>0.7</v>
      </c>
      <c r="R113" s="194">
        <v>0.81799999999999995</v>
      </c>
      <c r="S113" s="194">
        <v>11</v>
      </c>
      <c r="T113" s="194">
        <v>0.70799999999999996</v>
      </c>
      <c r="U113" s="194">
        <v>0.61499999999999999</v>
      </c>
      <c r="V113" s="194">
        <v>13</v>
      </c>
      <c r="W113" s="194"/>
      <c r="X113" s="194"/>
      <c r="Y113" s="194"/>
      <c r="Z113" s="194"/>
      <c r="AA113" s="194"/>
      <c r="AB113" s="194"/>
      <c r="AC113" s="194"/>
      <c r="AD113" s="194"/>
      <c r="AE113" s="194"/>
      <c r="AF113" s="194"/>
      <c r="AG113" s="194"/>
      <c r="AH113" s="194"/>
      <c r="AI113" s="194"/>
      <c r="AJ113" s="194"/>
      <c r="AK113" s="194"/>
      <c r="AL113" s="55"/>
      <c r="AM113" s="55"/>
      <c r="AN113" s="55"/>
      <c r="AO113" s="55"/>
      <c r="AP113" s="55"/>
      <c r="AQ113" s="55"/>
      <c r="AR113" s="55"/>
      <c r="AS113" s="55"/>
      <c r="AT113" s="55"/>
      <c r="AU113" s="55"/>
      <c r="AV113" s="55"/>
      <c r="AW113" s="55"/>
      <c r="AX113" s="55"/>
      <c r="AY113" s="55"/>
      <c r="AZ113" s="55"/>
      <c r="BA113" s="55"/>
      <c r="BB113" s="55"/>
      <c r="BC113" s="55"/>
      <c r="BD113" s="55"/>
      <c r="BE113" s="55"/>
      <c r="BF113" s="55"/>
      <c r="BG113" s="55"/>
      <c r="BH113" s="55"/>
      <c r="BI113" s="55"/>
    </row>
    <row r="114" spans="1:61" x14ac:dyDescent="0.3">
      <c r="A114" s="193" t="s">
        <v>410</v>
      </c>
      <c r="B114" s="194">
        <v>0.80400000000000005</v>
      </c>
      <c r="C114" s="194">
        <v>0.85699999999999998</v>
      </c>
      <c r="D114" s="194">
        <v>28</v>
      </c>
      <c r="E114" s="194">
        <v>0.68600000000000005</v>
      </c>
      <c r="F114" s="194">
        <v>0.75</v>
      </c>
      <c r="G114" s="194">
        <v>28</v>
      </c>
      <c r="H114" s="194">
        <v>0.65</v>
      </c>
      <c r="I114" s="194">
        <v>0.46700000000000003</v>
      </c>
      <c r="J114" s="194">
        <v>30</v>
      </c>
      <c r="K114" s="194">
        <v>0.65400000000000003</v>
      </c>
      <c r="L114" s="194">
        <v>0.77300000000000002</v>
      </c>
      <c r="M114" s="194">
        <v>22</v>
      </c>
      <c r="N114" s="194">
        <v>0.70399999999999996</v>
      </c>
      <c r="O114" s="194">
        <v>0.75900000000000001</v>
      </c>
      <c r="P114" s="194">
        <v>29</v>
      </c>
      <c r="Q114" s="194">
        <v>0.71699999999999997</v>
      </c>
      <c r="R114" s="194">
        <v>0.6</v>
      </c>
      <c r="S114" s="194">
        <v>30</v>
      </c>
      <c r="T114" s="194">
        <v>0.69799999999999995</v>
      </c>
      <c r="U114" s="194">
        <v>0.78800000000000003</v>
      </c>
      <c r="V114" s="194">
        <v>33</v>
      </c>
      <c r="W114" s="194"/>
      <c r="X114" s="194"/>
      <c r="Y114" s="194"/>
      <c r="Z114" s="194"/>
      <c r="AA114" s="194"/>
      <c r="AB114" s="194"/>
      <c r="AC114" s="194"/>
      <c r="AD114" s="194"/>
      <c r="AE114" s="194"/>
      <c r="AF114" s="194"/>
      <c r="AG114" s="194"/>
      <c r="AH114" s="194"/>
      <c r="AI114" s="194"/>
      <c r="AJ114" s="194"/>
      <c r="AK114" s="194"/>
      <c r="AL114" s="55"/>
      <c r="AM114" s="55"/>
      <c r="AN114" s="55"/>
      <c r="AO114" s="55"/>
      <c r="AP114" s="55"/>
      <c r="AQ114" s="55"/>
      <c r="AR114" s="55"/>
      <c r="AS114" s="55"/>
      <c r="AT114" s="55"/>
      <c r="AU114" s="55"/>
      <c r="AV114" s="55"/>
      <c r="AW114" s="55"/>
      <c r="AX114" s="55"/>
      <c r="AY114" s="55"/>
      <c r="AZ114" s="55"/>
      <c r="BA114" s="55"/>
      <c r="BB114" s="55"/>
      <c r="BC114" s="55"/>
      <c r="BD114" s="55"/>
      <c r="BE114" s="55"/>
      <c r="BF114" s="55"/>
      <c r="BG114" s="55"/>
      <c r="BH114" s="55"/>
      <c r="BI114" s="55"/>
    </row>
    <row r="115" spans="1:61" x14ac:dyDescent="0.3">
      <c r="A115" s="193" t="s">
        <v>460</v>
      </c>
      <c r="B115" s="194">
        <v>0.53100000000000003</v>
      </c>
      <c r="C115" s="194">
        <v>0.55600000000000005</v>
      </c>
      <c r="D115" s="194">
        <v>18</v>
      </c>
      <c r="E115" s="194">
        <v>0.46800000000000003</v>
      </c>
      <c r="F115" s="194">
        <v>0.51600000000000001</v>
      </c>
      <c r="G115" s="194">
        <v>31</v>
      </c>
      <c r="H115" s="194">
        <v>0.47599999999999998</v>
      </c>
      <c r="I115" s="194">
        <v>0.35699999999999998</v>
      </c>
      <c r="J115" s="194">
        <v>28</v>
      </c>
      <c r="K115" s="194">
        <v>0.48699999999999999</v>
      </c>
      <c r="L115" s="194">
        <v>0.56000000000000005</v>
      </c>
      <c r="M115" s="194">
        <v>25</v>
      </c>
      <c r="N115" s="194">
        <v>0.59299999999999997</v>
      </c>
      <c r="O115" s="194">
        <v>0.56499999999999995</v>
      </c>
      <c r="P115" s="194">
        <v>23</v>
      </c>
      <c r="Q115" s="194">
        <v>0.58799999999999997</v>
      </c>
      <c r="R115" s="194">
        <v>0.63600000000000001</v>
      </c>
      <c r="S115" s="194">
        <v>33</v>
      </c>
      <c r="T115" s="194">
        <v>0.6</v>
      </c>
      <c r="U115" s="194">
        <v>0.5</v>
      </c>
      <c r="V115" s="194">
        <v>12</v>
      </c>
      <c r="W115" s="194"/>
      <c r="X115" s="194"/>
      <c r="Y115" s="194"/>
      <c r="Z115" s="194"/>
      <c r="AA115" s="194"/>
      <c r="AB115" s="194"/>
      <c r="AC115" s="194"/>
      <c r="AD115" s="194"/>
      <c r="AE115" s="194"/>
      <c r="AF115" s="194"/>
      <c r="AG115" s="194"/>
      <c r="AH115" s="194"/>
      <c r="AI115" s="194"/>
      <c r="AJ115" s="194"/>
      <c r="AK115" s="194"/>
      <c r="AL115" s="55"/>
      <c r="AM115" s="55"/>
      <c r="AN115" s="55"/>
      <c r="AO115" s="55"/>
      <c r="AP115" s="55"/>
      <c r="AQ115" s="55"/>
      <c r="AR115" s="55"/>
      <c r="AS115" s="55"/>
      <c r="AT115" s="55"/>
      <c r="AU115" s="55"/>
      <c r="AV115" s="55"/>
      <c r="AW115" s="55"/>
      <c r="AX115" s="55"/>
      <c r="AY115" s="55"/>
      <c r="AZ115" s="55"/>
      <c r="BA115" s="55"/>
      <c r="BB115" s="55"/>
      <c r="BC115" s="55"/>
      <c r="BD115" s="55"/>
      <c r="BE115" s="55"/>
      <c r="BF115" s="55"/>
      <c r="BG115" s="55"/>
      <c r="BH115" s="55"/>
      <c r="BI115" s="55"/>
    </row>
    <row r="116" spans="1:61" x14ac:dyDescent="0.3">
      <c r="A116" s="193" t="s">
        <v>288</v>
      </c>
      <c r="B116" s="194">
        <v>0.6</v>
      </c>
      <c r="C116" s="194">
        <v>0.55600000000000005</v>
      </c>
      <c r="D116" s="194">
        <v>18</v>
      </c>
      <c r="E116" s="194">
        <v>0.55200000000000005</v>
      </c>
      <c r="F116" s="194">
        <v>0.64700000000000002</v>
      </c>
      <c r="G116" s="194">
        <v>17</v>
      </c>
      <c r="H116" s="194">
        <v>0.56899999999999995</v>
      </c>
      <c r="I116" s="194">
        <v>0.47799999999999998</v>
      </c>
      <c r="J116" s="194">
        <v>23</v>
      </c>
      <c r="K116" s="194">
        <v>0.55400000000000005</v>
      </c>
      <c r="L116" s="194">
        <v>0.61099999999999999</v>
      </c>
      <c r="M116" s="194">
        <v>18</v>
      </c>
      <c r="N116" s="194">
        <v>0.54200000000000004</v>
      </c>
      <c r="O116" s="194">
        <v>0.6</v>
      </c>
      <c r="P116" s="194">
        <v>15</v>
      </c>
      <c r="Q116" s="194">
        <v>0.5</v>
      </c>
      <c r="R116" s="194">
        <v>0.4</v>
      </c>
      <c r="S116" s="194">
        <v>15</v>
      </c>
      <c r="T116" s="194">
        <v>0.44400000000000001</v>
      </c>
      <c r="U116" s="194">
        <v>0.5</v>
      </c>
      <c r="V116" s="194">
        <v>12</v>
      </c>
      <c r="W116" s="194"/>
      <c r="X116" s="194"/>
      <c r="Y116" s="194"/>
      <c r="Z116" s="194"/>
      <c r="AA116" s="194"/>
      <c r="AB116" s="194"/>
      <c r="AC116" s="194"/>
      <c r="AD116" s="194"/>
      <c r="AE116" s="194"/>
      <c r="AF116" s="194"/>
      <c r="AG116" s="194"/>
      <c r="AH116" s="194"/>
      <c r="AI116" s="194"/>
      <c r="AJ116" s="194"/>
      <c r="AK116" s="194"/>
      <c r="AL116" s="55"/>
      <c r="AM116" s="55"/>
      <c r="AN116" s="55"/>
      <c r="AO116" s="55"/>
      <c r="AP116" s="55"/>
      <c r="AQ116" s="55"/>
      <c r="AR116" s="55"/>
      <c r="AS116" s="55"/>
      <c r="AT116" s="55"/>
      <c r="AU116" s="55"/>
      <c r="AV116" s="55"/>
      <c r="AW116" s="55"/>
      <c r="AX116" s="55"/>
      <c r="AY116" s="55"/>
      <c r="AZ116" s="55"/>
      <c r="BA116" s="55"/>
      <c r="BB116" s="55"/>
      <c r="BC116" s="55"/>
      <c r="BD116" s="55"/>
      <c r="BE116" s="55"/>
      <c r="BF116" s="55"/>
      <c r="BG116" s="55"/>
      <c r="BH116" s="55"/>
      <c r="BI116" s="55"/>
    </row>
    <row r="117" spans="1:61" x14ac:dyDescent="0.3">
      <c r="A117" s="193" t="s">
        <v>388</v>
      </c>
      <c r="B117" s="194">
        <v>0.70399999999999996</v>
      </c>
      <c r="C117" s="194">
        <v>0.76900000000000002</v>
      </c>
      <c r="D117" s="194">
        <v>13</v>
      </c>
      <c r="E117" s="194">
        <v>0.69199999999999995</v>
      </c>
      <c r="F117" s="194">
        <v>0.64300000000000002</v>
      </c>
      <c r="G117" s="194">
        <v>14</v>
      </c>
      <c r="H117" s="194">
        <v>0.52600000000000002</v>
      </c>
      <c r="I117" s="194">
        <v>0.66700000000000004</v>
      </c>
      <c r="J117" s="194">
        <v>12</v>
      </c>
      <c r="K117" s="194">
        <v>0.41399999999999998</v>
      </c>
      <c r="L117" s="194">
        <v>0.25</v>
      </c>
      <c r="M117" s="194">
        <v>12</v>
      </c>
      <c r="N117" s="194">
        <v>0.33300000000000002</v>
      </c>
      <c r="O117" s="194">
        <v>0.2</v>
      </c>
      <c r="P117" s="194">
        <v>5</v>
      </c>
      <c r="Q117" s="194">
        <v>0.45</v>
      </c>
      <c r="R117" s="194">
        <v>0.57099999999999995</v>
      </c>
      <c r="S117" s="194">
        <v>7</v>
      </c>
      <c r="T117" s="194">
        <v>0.53300000000000003</v>
      </c>
      <c r="U117" s="194">
        <v>0.5</v>
      </c>
      <c r="V117" s="194">
        <v>8</v>
      </c>
      <c r="W117" s="194"/>
      <c r="X117" s="194"/>
      <c r="Y117" s="194"/>
      <c r="Z117" s="194"/>
      <c r="AA117" s="194"/>
      <c r="AB117" s="194"/>
      <c r="AC117" s="194"/>
      <c r="AD117" s="194"/>
      <c r="AE117" s="194"/>
      <c r="AF117" s="194"/>
      <c r="AG117" s="194"/>
      <c r="AH117" s="194"/>
      <c r="AI117" s="194"/>
      <c r="AJ117" s="194"/>
      <c r="AK117" s="194"/>
      <c r="AL117" s="55"/>
      <c r="AM117" s="55"/>
      <c r="AN117" s="55"/>
      <c r="AO117" s="55"/>
      <c r="AP117" s="55"/>
      <c r="AQ117" s="55"/>
      <c r="AR117" s="55"/>
      <c r="AS117" s="55"/>
      <c r="AT117" s="55"/>
      <c r="AU117" s="55"/>
      <c r="AV117" s="55"/>
      <c r="AW117" s="55"/>
      <c r="AX117" s="55"/>
      <c r="AY117" s="55"/>
      <c r="AZ117" s="55"/>
      <c r="BA117" s="55"/>
      <c r="BB117" s="55"/>
      <c r="BC117" s="55"/>
      <c r="BD117" s="55"/>
      <c r="BE117" s="55"/>
      <c r="BF117" s="55"/>
      <c r="BG117" s="55"/>
      <c r="BH117" s="55"/>
      <c r="BI117" s="55"/>
    </row>
    <row r="118" spans="1:61" x14ac:dyDescent="0.3">
      <c r="A118" s="193" t="s">
        <v>322</v>
      </c>
      <c r="B118" s="194">
        <v>0.45500000000000002</v>
      </c>
      <c r="C118" s="194">
        <v>0.66700000000000004</v>
      </c>
      <c r="D118" s="194">
        <v>3</v>
      </c>
      <c r="E118" s="194">
        <v>0.35699999999999998</v>
      </c>
      <c r="F118" s="194">
        <v>0.375</v>
      </c>
      <c r="G118" s="194">
        <v>8</v>
      </c>
      <c r="H118" s="194">
        <v>0.36799999999999999</v>
      </c>
      <c r="I118" s="194">
        <v>0</v>
      </c>
      <c r="J118" s="194">
        <v>3</v>
      </c>
      <c r="K118" s="194">
        <v>0.33300000000000002</v>
      </c>
      <c r="L118" s="194">
        <v>0.5</v>
      </c>
      <c r="M118" s="194">
        <v>8</v>
      </c>
      <c r="N118" s="194">
        <v>0.27800000000000002</v>
      </c>
      <c r="O118" s="194">
        <v>0.25</v>
      </c>
      <c r="P118" s="194">
        <v>4</v>
      </c>
      <c r="Q118" s="194">
        <v>0.154</v>
      </c>
      <c r="R118" s="194">
        <v>0</v>
      </c>
      <c r="S118" s="194">
        <v>6</v>
      </c>
      <c r="T118" s="194">
        <v>0.111</v>
      </c>
      <c r="U118" s="194">
        <v>0.33300000000000002</v>
      </c>
      <c r="V118" s="194">
        <v>3</v>
      </c>
      <c r="W118" s="194"/>
      <c r="X118" s="194"/>
      <c r="Y118" s="194"/>
      <c r="Z118" s="194"/>
      <c r="AA118" s="194"/>
      <c r="AB118" s="194"/>
      <c r="AC118" s="194"/>
      <c r="AD118" s="194"/>
      <c r="AE118" s="194"/>
      <c r="AF118" s="194"/>
      <c r="AG118" s="194"/>
      <c r="AH118" s="194"/>
      <c r="AI118" s="194"/>
      <c r="AJ118" s="194"/>
      <c r="AK118" s="194"/>
      <c r="AL118" s="55"/>
      <c r="AM118" s="55"/>
      <c r="AN118" s="55"/>
      <c r="AO118" s="55"/>
      <c r="AP118" s="55"/>
      <c r="AQ118" s="55"/>
      <c r="AR118" s="55"/>
      <c r="AS118" s="55"/>
      <c r="AT118" s="55"/>
      <c r="AU118" s="55"/>
      <c r="AV118" s="55"/>
      <c r="AW118" s="55"/>
      <c r="AX118" s="55"/>
      <c r="AY118" s="55"/>
      <c r="AZ118" s="55"/>
      <c r="BA118" s="55"/>
      <c r="BB118" s="55"/>
      <c r="BC118" s="55"/>
      <c r="BD118" s="55"/>
      <c r="BE118" s="55"/>
      <c r="BF118" s="55"/>
      <c r="BG118" s="55"/>
      <c r="BH118" s="55"/>
      <c r="BI118" s="55"/>
    </row>
    <row r="119" spans="1:61" x14ac:dyDescent="0.3">
      <c r="A119" s="193" t="s">
        <v>299</v>
      </c>
      <c r="B119" s="194">
        <v>0.74199999999999999</v>
      </c>
      <c r="C119" s="194">
        <v>0.85</v>
      </c>
      <c r="D119" s="194">
        <v>20</v>
      </c>
      <c r="E119" s="194">
        <v>0.625</v>
      </c>
      <c r="F119" s="194">
        <v>0.54500000000000004</v>
      </c>
      <c r="G119" s="194">
        <v>11</v>
      </c>
      <c r="H119" s="194">
        <v>0.432</v>
      </c>
      <c r="I119" s="194">
        <v>0.41199999999999998</v>
      </c>
      <c r="J119" s="194">
        <v>17</v>
      </c>
      <c r="K119" s="194">
        <v>0.30299999999999999</v>
      </c>
      <c r="L119" s="194">
        <v>0.33300000000000002</v>
      </c>
      <c r="M119" s="194">
        <v>9</v>
      </c>
      <c r="N119" s="194">
        <v>0.25</v>
      </c>
      <c r="O119" s="194">
        <v>0</v>
      </c>
      <c r="P119" s="194">
        <v>7</v>
      </c>
      <c r="Q119" s="194">
        <v>0.20699999999999999</v>
      </c>
      <c r="R119" s="194">
        <v>0.33300000000000002</v>
      </c>
      <c r="S119" s="194">
        <v>12</v>
      </c>
      <c r="T119" s="194">
        <v>0.27300000000000002</v>
      </c>
      <c r="U119" s="194">
        <v>0.2</v>
      </c>
      <c r="V119" s="194">
        <v>10</v>
      </c>
      <c r="W119" s="194"/>
      <c r="X119" s="194"/>
      <c r="Y119" s="194"/>
      <c r="Z119" s="194"/>
      <c r="AA119" s="194"/>
      <c r="AB119" s="194"/>
      <c r="AC119" s="194"/>
      <c r="AD119" s="194"/>
      <c r="AE119" s="194"/>
      <c r="AF119" s="194"/>
      <c r="AG119" s="194"/>
      <c r="AH119" s="194"/>
      <c r="AI119" s="194"/>
      <c r="AJ119" s="194"/>
      <c r="AK119" s="194"/>
      <c r="AL119" s="55"/>
      <c r="AM119" s="55"/>
      <c r="AN119" s="55"/>
      <c r="AO119" s="55"/>
      <c r="AP119" s="55"/>
      <c r="AQ119" s="55"/>
      <c r="AR119" s="55"/>
      <c r="AS119" s="55"/>
      <c r="AT119" s="55"/>
      <c r="AU119" s="55"/>
      <c r="AV119" s="55"/>
      <c r="AW119" s="55"/>
      <c r="AX119" s="55"/>
      <c r="AY119" s="55"/>
      <c r="AZ119" s="55"/>
      <c r="BA119" s="55"/>
      <c r="BB119" s="55"/>
      <c r="BC119" s="55"/>
      <c r="BD119" s="55"/>
      <c r="BE119" s="55"/>
      <c r="BF119" s="55"/>
      <c r="BG119" s="55"/>
      <c r="BH119" s="55"/>
      <c r="BI119" s="55"/>
    </row>
    <row r="120" spans="1:61" x14ac:dyDescent="0.3">
      <c r="A120" s="193" t="s">
        <v>343</v>
      </c>
      <c r="B120" s="194">
        <v>0.80300000000000005</v>
      </c>
      <c r="C120" s="194">
        <v>0.879</v>
      </c>
      <c r="D120" s="194">
        <v>33</v>
      </c>
      <c r="E120" s="194">
        <v>0.79400000000000004</v>
      </c>
      <c r="F120" s="194">
        <v>0.72699999999999998</v>
      </c>
      <c r="G120" s="194">
        <v>33</v>
      </c>
      <c r="H120" s="194">
        <v>0.75</v>
      </c>
      <c r="I120" s="194">
        <v>0.77400000000000002</v>
      </c>
      <c r="J120" s="194">
        <v>31</v>
      </c>
      <c r="K120" s="194">
        <v>0.78500000000000003</v>
      </c>
      <c r="L120" s="194">
        <v>0.75</v>
      </c>
      <c r="M120" s="194">
        <v>20</v>
      </c>
      <c r="N120" s="194">
        <v>0.81499999999999995</v>
      </c>
      <c r="O120" s="194">
        <v>0.85699999999999998</v>
      </c>
      <c r="P120" s="194">
        <v>14</v>
      </c>
      <c r="Q120" s="194">
        <v>0.86799999999999999</v>
      </c>
      <c r="R120" s="194">
        <v>0.85</v>
      </c>
      <c r="S120" s="194">
        <v>20</v>
      </c>
      <c r="T120" s="194">
        <v>0.872</v>
      </c>
      <c r="U120" s="194">
        <v>0.89500000000000002</v>
      </c>
      <c r="V120" s="194">
        <v>19</v>
      </c>
      <c r="W120" s="194"/>
      <c r="X120" s="194"/>
      <c r="Y120" s="194"/>
      <c r="Z120" s="194"/>
      <c r="AA120" s="194"/>
      <c r="AB120" s="194"/>
      <c r="AC120" s="194"/>
      <c r="AD120" s="194"/>
      <c r="AE120" s="194"/>
      <c r="AF120" s="194"/>
      <c r="AG120" s="194"/>
      <c r="AH120" s="194"/>
      <c r="AI120" s="194"/>
      <c r="AJ120" s="194"/>
      <c r="AK120" s="194"/>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row>
    <row r="121" spans="1:61" x14ac:dyDescent="0.3">
      <c r="A121" s="193" t="s">
        <v>466</v>
      </c>
      <c r="B121" s="194">
        <v>0.48499999999999999</v>
      </c>
      <c r="C121" s="194">
        <v>0.35299999999999998</v>
      </c>
      <c r="D121" s="194">
        <v>17</v>
      </c>
      <c r="E121" s="194">
        <v>0.55900000000000005</v>
      </c>
      <c r="F121" s="194">
        <v>0.625</v>
      </c>
      <c r="G121" s="194">
        <v>16</v>
      </c>
      <c r="H121" s="194">
        <v>0.63800000000000001</v>
      </c>
      <c r="I121" s="194">
        <v>0.65400000000000003</v>
      </c>
      <c r="J121" s="194">
        <v>26</v>
      </c>
      <c r="K121" s="194">
        <v>0.59699999999999998</v>
      </c>
      <c r="L121" s="194">
        <v>0.625</v>
      </c>
      <c r="M121" s="194">
        <v>16</v>
      </c>
      <c r="N121" s="194">
        <v>0.57499999999999996</v>
      </c>
      <c r="O121" s="194">
        <v>0.52</v>
      </c>
      <c r="P121" s="194">
        <v>25</v>
      </c>
      <c r="Q121" s="194">
        <v>0.60799999999999998</v>
      </c>
      <c r="R121" s="194">
        <v>0.59399999999999997</v>
      </c>
      <c r="S121" s="194">
        <v>32</v>
      </c>
      <c r="T121" s="194">
        <v>0.64800000000000002</v>
      </c>
      <c r="U121" s="194">
        <v>0.72699999999999998</v>
      </c>
      <c r="V121" s="194">
        <v>22</v>
      </c>
      <c r="W121" s="194"/>
      <c r="X121" s="194"/>
      <c r="Y121" s="194"/>
      <c r="Z121" s="194"/>
      <c r="AA121" s="194"/>
      <c r="AB121" s="194"/>
      <c r="AC121" s="194"/>
      <c r="AD121" s="194"/>
      <c r="AE121" s="194"/>
      <c r="AF121" s="194"/>
      <c r="AG121" s="194"/>
      <c r="AH121" s="194"/>
      <c r="AI121" s="194"/>
      <c r="AJ121" s="194"/>
      <c r="AK121" s="194"/>
      <c r="AL121" s="55"/>
      <c r="AM121" s="55"/>
      <c r="AN121" s="55"/>
      <c r="AO121" s="55"/>
      <c r="AP121" s="55"/>
      <c r="AQ121" s="55"/>
      <c r="AR121" s="55"/>
      <c r="AS121" s="55"/>
      <c r="AT121" s="55"/>
      <c r="AU121" s="55"/>
      <c r="AV121" s="55"/>
      <c r="AW121" s="55"/>
      <c r="AX121" s="55"/>
      <c r="AY121" s="55"/>
      <c r="AZ121" s="55"/>
      <c r="BA121" s="55"/>
      <c r="BB121" s="55"/>
      <c r="BC121" s="55"/>
      <c r="BD121" s="55"/>
      <c r="BE121" s="55"/>
      <c r="BF121" s="55"/>
      <c r="BG121" s="55"/>
      <c r="BH121" s="55"/>
      <c r="BI121" s="55"/>
    </row>
    <row r="122" spans="1:61" x14ac:dyDescent="0.3">
      <c r="A122" s="193" t="s">
        <v>376</v>
      </c>
      <c r="B122" s="194">
        <v>0.83</v>
      </c>
      <c r="C122" s="194">
        <v>0.88900000000000001</v>
      </c>
      <c r="D122" s="194">
        <v>27</v>
      </c>
      <c r="E122" s="194">
        <v>0.85299999999999998</v>
      </c>
      <c r="F122" s="194">
        <v>0.75</v>
      </c>
      <c r="G122" s="194">
        <v>20</v>
      </c>
      <c r="H122" s="194">
        <v>0.76700000000000002</v>
      </c>
      <c r="I122" s="194">
        <v>0.90500000000000003</v>
      </c>
      <c r="J122" s="194">
        <v>21</v>
      </c>
      <c r="K122" s="194">
        <v>0.80800000000000005</v>
      </c>
      <c r="L122" s="194">
        <v>0.68799999999999994</v>
      </c>
      <c r="M122" s="194">
        <v>32</v>
      </c>
      <c r="N122" s="194">
        <v>0.76700000000000002</v>
      </c>
      <c r="O122" s="194">
        <v>0.88</v>
      </c>
      <c r="P122" s="194">
        <v>25</v>
      </c>
      <c r="Q122" s="194">
        <v>0.82799999999999996</v>
      </c>
      <c r="R122" s="194">
        <v>0.75900000000000001</v>
      </c>
      <c r="S122" s="194">
        <v>29</v>
      </c>
      <c r="T122" s="194">
        <v>0.81100000000000005</v>
      </c>
      <c r="U122" s="194">
        <v>0.84399999999999997</v>
      </c>
      <c r="V122" s="194">
        <v>45</v>
      </c>
      <c r="W122" s="194"/>
      <c r="X122" s="194"/>
      <c r="Y122" s="194"/>
      <c r="Z122" s="194"/>
      <c r="AA122" s="194"/>
      <c r="AB122" s="194"/>
      <c r="AC122" s="194"/>
      <c r="AD122" s="194"/>
      <c r="AE122" s="194"/>
      <c r="AF122" s="194"/>
      <c r="AG122" s="194"/>
      <c r="AH122" s="194"/>
      <c r="AI122" s="194"/>
      <c r="AJ122" s="194"/>
      <c r="AK122" s="194"/>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row>
    <row r="123" spans="1:61" x14ac:dyDescent="0.3">
      <c r="A123" s="193" t="s">
        <v>534</v>
      </c>
      <c r="B123" s="194">
        <v>0.5</v>
      </c>
      <c r="C123" s="194">
        <v>0.45700000000000002</v>
      </c>
      <c r="D123" s="194">
        <v>46</v>
      </c>
      <c r="E123" s="194">
        <v>0.496</v>
      </c>
      <c r="F123" s="194">
        <v>0.54300000000000004</v>
      </c>
      <c r="G123" s="194">
        <v>46</v>
      </c>
      <c r="H123" s="194">
        <v>0.52700000000000002</v>
      </c>
      <c r="I123" s="194">
        <v>0.48799999999999999</v>
      </c>
      <c r="J123" s="194">
        <v>43</v>
      </c>
      <c r="K123" s="194">
        <v>0.52200000000000002</v>
      </c>
      <c r="L123" s="194">
        <v>0.56499999999999995</v>
      </c>
      <c r="M123" s="194">
        <v>23</v>
      </c>
      <c r="N123" s="194">
        <v>0.51300000000000001</v>
      </c>
      <c r="O123" s="194">
        <v>0.53200000000000003</v>
      </c>
      <c r="P123" s="194">
        <v>47</v>
      </c>
      <c r="Q123" s="194">
        <v>0.53400000000000003</v>
      </c>
      <c r="R123" s="194">
        <v>0.46800000000000003</v>
      </c>
      <c r="S123" s="194">
        <v>47</v>
      </c>
      <c r="T123" s="194">
        <v>0.53500000000000003</v>
      </c>
      <c r="U123" s="194">
        <v>0.59299999999999997</v>
      </c>
      <c r="V123" s="194">
        <v>54</v>
      </c>
      <c r="W123" s="194"/>
      <c r="X123" s="194"/>
      <c r="Y123" s="194"/>
      <c r="Z123" s="194"/>
      <c r="AA123" s="194"/>
      <c r="AB123" s="194"/>
      <c r="AC123" s="194"/>
      <c r="AD123" s="194"/>
      <c r="AE123" s="194"/>
      <c r="AF123" s="194"/>
      <c r="AG123" s="194"/>
      <c r="AH123" s="194"/>
      <c r="AI123" s="194"/>
      <c r="AJ123" s="194"/>
      <c r="AK123" s="194"/>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row>
    <row r="124" spans="1:61" x14ac:dyDescent="0.3">
      <c r="A124" s="193"/>
      <c r="B124" s="194"/>
      <c r="C124" s="194"/>
      <c r="D124" s="194"/>
      <c r="E124" s="194"/>
      <c r="F124" s="194"/>
      <c r="G124" s="194"/>
      <c r="H124" s="194"/>
      <c r="I124" s="194"/>
      <c r="J124" s="194"/>
      <c r="K124" s="194"/>
      <c r="L124" s="194"/>
      <c r="M124" s="194"/>
      <c r="N124" s="194"/>
      <c r="O124" s="194"/>
      <c r="P124" s="194"/>
      <c r="Q124" s="194"/>
      <c r="R124" s="194"/>
      <c r="S124" s="194"/>
      <c r="T124" s="194"/>
      <c r="U124" s="194"/>
      <c r="V124" s="194"/>
      <c r="W124" s="194"/>
      <c r="X124" s="194"/>
      <c r="Y124" s="194"/>
      <c r="Z124" s="194"/>
      <c r="AA124" s="194"/>
      <c r="AB124" s="194"/>
      <c r="AC124" s="194"/>
      <c r="AD124" s="194"/>
      <c r="AE124" s="194"/>
      <c r="AF124" s="194"/>
      <c r="AG124" s="194"/>
      <c r="AH124" s="194"/>
      <c r="AI124" s="194"/>
      <c r="AJ124" s="194"/>
      <c r="AK124" s="194"/>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61E88-037D-46F5-A7A3-361F25B67FF5}">
  <sheetPr>
    <tabColor theme="9" tint="0.79998168889431442"/>
  </sheetPr>
  <dimension ref="A1:BU124"/>
  <sheetViews>
    <sheetView workbookViewId="0">
      <pane xSplit="1" ySplit="1" topLeftCell="B2" activePane="bottomRight" state="frozen"/>
      <selection pane="topRight" activeCell="B1" sqref="B1"/>
      <selection pane="bottomLeft" activeCell="A2" sqref="A2"/>
      <selection pane="bottomRight" sqref="A1:BE91"/>
    </sheetView>
  </sheetViews>
  <sheetFormatPr defaultRowHeight="14.4" x14ac:dyDescent="0.3"/>
  <cols>
    <col min="2" max="5" width="9.109375" style="120"/>
    <col min="16" max="16" width="11.33203125" customWidth="1"/>
    <col min="19" max="19" width="10.109375" customWidth="1"/>
    <col min="22" max="22" width="10.6640625" customWidth="1"/>
    <col min="25" max="25" width="11.109375" customWidth="1"/>
    <col min="28" max="28" width="10.88671875" customWidth="1"/>
    <col min="31" max="31" width="10.88671875" customWidth="1"/>
    <col min="34" max="34" width="12" customWidth="1"/>
    <col min="37" max="37" width="11.33203125" customWidth="1"/>
    <col min="49" max="49" width="9.44140625" bestFit="1" customWidth="1"/>
  </cols>
  <sheetData>
    <row r="1" spans="1:73" x14ac:dyDescent="0.3">
      <c r="A1" s="193" t="s">
        <v>259</v>
      </c>
      <c r="B1" s="193" t="s">
        <v>741</v>
      </c>
      <c r="C1" s="193" t="s">
        <v>717</v>
      </c>
      <c r="D1" s="193" t="s">
        <v>718</v>
      </c>
      <c r="E1" s="193" t="s">
        <v>125</v>
      </c>
      <c r="F1" s="193" t="s">
        <v>112</v>
      </c>
      <c r="G1" s="193" t="s">
        <v>742</v>
      </c>
      <c r="H1" s="193" t="s">
        <v>719</v>
      </c>
      <c r="I1" s="193" t="s">
        <v>720</v>
      </c>
      <c r="J1" s="193" t="s">
        <v>126</v>
      </c>
      <c r="K1" s="193" t="s">
        <v>113</v>
      </c>
      <c r="L1" s="193" t="s">
        <v>743</v>
      </c>
      <c r="M1" s="193" t="s">
        <v>721</v>
      </c>
      <c r="N1" s="193" t="s">
        <v>722</v>
      </c>
      <c r="O1" s="193" t="s">
        <v>127</v>
      </c>
      <c r="P1" s="193" t="s">
        <v>114</v>
      </c>
      <c r="Q1" s="193" t="s">
        <v>744</v>
      </c>
      <c r="R1" s="193" t="s">
        <v>723</v>
      </c>
      <c r="S1" s="193" t="s">
        <v>724</v>
      </c>
      <c r="T1" s="193" t="s">
        <v>128</v>
      </c>
      <c r="U1" s="193" t="s">
        <v>115</v>
      </c>
      <c r="V1" s="193" t="s">
        <v>745</v>
      </c>
      <c r="W1" s="193" t="s">
        <v>725</v>
      </c>
      <c r="X1" s="193" t="s">
        <v>726</v>
      </c>
      <c r="Y1" s="193" t="s">
        <v>129</v>
      </c>
      <c r="Z1" s="193" t="s">
        <v>116</v>
      </c>
      <c r="AA1" s="193" t="s">
        <v>746</v>
      </c>
      <c r="AB1" s="193" t="s">
        <v>727</v>
      </c>
      <c r="AC1" s="193" t="s">
        <v>728</v>
      </c>
      <c r="AD1" s="193" t="s">
        <v>130</v>
      </c>
      <c r="AE1" s="193" t="s">
        <v>117</v>
      </c>
      <c r="AF1" s="193" t="s">
        <v>747</v>
      </c>
      <c r="AG1" s="193" t="s">
        <v>729</v>
      </c>
      <c r="AH1" s="193" t="s">
        <v>730</v>
      </c>
      <c r="AI1" s="193" t="s">
        <v>131</v>
      </c>
      <c r="AJ1" s="193" t="s">
        <v>118</v>
      </c>
      <c r="AK1" s="193" t="s">
        <v>748</v>
      </c>
      <c r="AL1" s="193" t="s">
        <v>731</v>
      </c>
      <c r="AM1" s="193" t="s">
        <v>732</v>
      </c>
      <c r="AN1" s="193" t="s">
        <v>132</v>
      </c>
      <c r="AO1" s="193" t="s">
        <v>119</v>
      </c>
      <c r="AP1" s="193" t="s">
        <v>749</v>
      </c>
      <c r="AQ1" s="193" t="s">
        <v>733</v>
      </c>
      <c r="AR1" s="193" t="s">
        <v>734</v>
      </c>
      <c r="AS1" s="193" t="s">
        <v>133</v>
      </c>
      <c r="AT1" s="193" t="s">
        <v>120</v>
      </c>
      <c r="AU1" s="193" t="s">
        <v>750</v>
      </c>
      <c r="AV1" s="193" t="s">
        <v>735</v>
      </c>
      <c r="AW1" s="193" t="s">
        <v>736</v>
      </c>
      <c r="AX1" s="193" t="s">
        <v>134</v>
      </c>
      <c r="AY1" s="193" t="s">
        <v>121</v>
      </c>
      <c r="AZ1" s="193" t="s">
        <v>751</v>
      </c>
      <c r="BA1" s="193" t="s">
        <v>737</v>
      </c>
      <c r="BB1" s="193" t="s">
        <v>738</v>
      </c>
      <c r="BC1" s="193" t="s">
        <v>135</v>
      </c>
      <c r="BD1" s="193" t="s">
        <v>122</v>
      </c>
      <c r="BE1" s="193" t="s">
        <v>753</v>
      </c>
      <c r="BF1" s="193"/>
      <c r="BG1" s="193"/>
      <c r="BH1" s="193"/>
      <c r="BI1" s="193"/>
      <c r="BJ1" s="193"/>
      <c r="BK1" s="193"/>
      <c r="BL1" s="193"/>
      <c r="BM1" s="193"/>
      <c r="BN1" s="193"/>
      <c r="BO1" s="193"/>
      <c r="BP1" s="193"/>
      <c r="BQ1" s="193"/>
      <c r="BR1" s="193"/>
      <c r="BS1" s="193"/>
      <c r="BT1" s="193"/>
      <c r="BU1" s="193"/>
    </row>
    <row r="2" spans="1:73" x14ac:dyDescent="0.3">
      <c r="A2" s="193" t="s">
        <v>685</v>
      </c>
      <c r="B2" s="194">
        <v>0.79437822103500366</v>
      </c>
      <c r="C2" s="194">
        <v>0.71365100145339966</v>
      </c>
      <c r="D2" s="194">
        <v>0.74837738275527954</v>
      </c>
      <c r="E2" s="194">
        <v>0.78869622945785522</v>
      </c>
      <c r="F2" s="194">
        <v>1557</v>
      </c>
      <c r="G2" s="194">
        <v>0.78584301471710205</v>
      </c>
      <c r="H2" s="194">
        <v>0.71398568153381348</v>
      </c>
      <c r="I2" s="194">
        <v>0.74804270267486572</v>
      </c>
      <c r="J2" s="194">
        <v>0.75910931825637817</v>
      </c>
      <c r="K2" s="194">
        <v>1482</v>
      </c>
      <c r="L2" s="194">
        <v>0.77263021469116211</v>
      </c>
      <c r="M2" s="194">
        <v>0.71396327018737793</v>
      </c>
      <c r="N2" s="194">
        <v>0.74806511402130127</v>
      </c>
      <c r="O2" s="194">
        <v>0.74984043836593628</v>
      </c>
      <c r="P2" s="194">
        <v>1567</v>
      </c>
      <c r="Q2" s="194">
        <v>0.76338398456573486</v>
      </c>
      <c r="R2" s="194">
        <v>0.71391403675079346</v>
      </c>
      <c r="S2" s="194">
        <v>0.74811434745788574</v>
      </c>
      <c r="T2" s="194">
        <v>0.75518673658370972</v>
      </c>
      <c r="U2" s="194">
        <v>1446</v>
      </c>
      <c r="V2" s="194">
        <v>0.74991577863693237</v>
      </c>
      <c r="W2" s="194">
        <v>0.71375072002410889</v>
      </c>
      <c r="X2" s="194">
        <v>0.74827766418457031</v>
      </c>
      <c r="Y2" s="194">
        <v>0.73527371883392334</v>
      </c>
      <c r="Z2" s="194">
        <v>1443</v>
      </c>
      <c r="AA2" s="194">
        <v>0.74126929044723511</v>
      </c>
      <c r="AB2" s="194">
        <v>0.71377682685852051</v>
      </c>
      <c r="AC2" s="194">
        <v>0.74825155735015869</v>
      </c>
      <c r="AD2" s="194">
        <v>0.72466665506362915</v>
      </c>
      <c r="AE2" s="194">
        <v>1500</v>
      </c>
      <c r="AF2" s="194">
        <v>0.73062413930892944</v>
      </c>
      <c r="AG2" s="194">
        <v>0.71359449625015259</v>
      </c>
      <c r="AH2" s="194">
        <v>0.74843388795852661</v>
      </c>
      <c r="AI2" s="194">
        <v>0.7075536847114563</v>
      </c>
      <c r="AJ2" s="194">
        <v>1443</v>
      </c>
      <c r="AK2" s="194">
        <v>0.71532350778579712</v>
      </c>
      <c r="AL2" s="194">
        <v>0.71372300386428833</v>
      </c>
      <c r="AM2" s="194">
        <v>0.74830538034439087</v>
      </c>
      <c r="AN2" s="194">
        <v>0.69471621513366699</v>
      </c>
      <c r="AO2" s="194">
        <v>1533</v>
      </c>
      <c r="AP2" s="194">
        <v>0.7039179801940918</v>
      </c>
      <c r="AQ2" s="194">
        <v>0.7139098048210144</v>
      </c>
      <c r="AR2" s="194">
        <v>0.74811857938766479</v>
      </c>
      <c r="AS2" s="194">
        <v>0.68976479768753052</v>
      </c>
      <c r="AT2" s="194">
        <v>1573</v>
      </c>
      <c r="AU2" s="194">
        <v>0.68849813938140869</v>
      </c>
      <c r="AV2" s="194">
        <v>0.71411800384521484</v>
      </c>
      <c r="AW2" s="194">
        <v>0.74791038036346436</v>
      </c>
      <c r="AX2" s="194">
        <v>0.66484850645065308</v>
      </c>
      <c r="AY2" s="194">
        <v>1650</v>
      </c>
      <c r="AZ2" s="194">
        <v>0.69209301471710205</v>
      </c>
      <c r="BA2" s="194">
        <v>0.71445006132125854</v>
      </c>
      <c r="BB2" s="194">
        <v>0.74757832288742065</v>
      </c>
      <c r="BC2" s="194">
        <v>0.7184179425239563</v>
      </c>
      <c r="BD2" s="194">
        <v>1694</v>
      </c>
      <c r="BE2" s="194">
        <v>0.7310141921043396</v>
      </c>
      <c r="BF2" s="194"/>
      <c r="BG2" s="194"/>
      <c r="BH2" s="194"/>
      <c r="BI2" s="194"/>
      <c r="BJ2" s="194"/>
      <c r="BK2" s="194"/>
      <c r="BL2" s="194"/>
      <c r="BM2" s="194"/>
      <c r="BN2" s="194"/>
      <c r="BO2" s="194"/>
      <c r="BP2" s="194"/>
      <c r="BQ2" s="194"/>
      <c r="BR2" s="194"/>
      <c r="BS2" s="194"/>
      <c r="BT2" s="194"/>
      <c r="BU2" s="194"/>
    </row>
    <row r="3" spans="1:73" x14ac:dyDescent="0.3">
      <c r="A3" s="193" t="s">
        <v>402</v>
      </c>
      <c r="B3" s="194">
        <v>0.7849462628364563</v>
      </c>
      <c r="C3" s="194">
        <v>0.5892217755317688</v>
      </c>
      <c r="D3" s="194">
        <v>0.8661772608757019</v>
      </c>
      <c r="E3" s="194">
        <v>0.75</v>
      </c>
      <c r="F3" s="194">
        <v>24</v>
      </c>
      <c r="G3" s="194">
        <v>0.80645161867141724</v>
      </c>
      <c r="H3" s="194">
        <v>0.5892217755317688</v>
      </c>
      <c r="I3" s="194">
        <v>0.8661772608757019</v>
      </c>
      <c r="J3" s="194">
        <v>0.79166668653488159</v>
      </c>
      <c r="K3" s="194">
        <v>24</v>
      </c>
      <c r="L3" s="194">
        <v>0.80208331346511841</v>
      </c>
      <c r="M3" s="194">
        <v>0.59140264987945557</v>
      </c>
      <c r="N3" s="194">
        <v>0.86399638652801514</v>
      </c>
      <c r="O3" s="194">
        <v>0.81818181276321411</v>
      </c>
      <c r="P3" s="194">
        <v>22</v>
      </c>
      <c r="Q3" s="194">
        <v>0.76404494047164917</v>
      </c>
      <c r="R3" s="194">
        <v>0.5861440896987915</v>
      </c>
      <c r="S3" s="194">
        <v>0.8692549467086792</v>
      </c>
      <c r="T3" s="194">
        <v>0.68421053886413574</v>
      </c>
      <c r="U3" s="194">
        <v>19</v>
      </c>
      <c r="V3" s="194">
        <v>0.75257730484008789</v>
      </c>
      <c r="W3" s="194">
        <v>0.59210705757141113</v>
      </c>
      <c r="X3" s="194">
        <v>0.86329197883605957</v>
      </c>
      <c r="Y3" s="194">
        <v>0.71875</v>
      </c>
      <c r="Z3" s="194">
        <v>32</v>
      </c>
      <c r="AA3" s="194">
        <v>0.74725276231765747</v>
      </c>
      <c r="AB3" s="194">
        <v>0.58770829439163208</v>
      </c>
      <c r="AC3" s="194">
        <v>0.86769074201583862</v>
      </c>
      <c r="AD3" s="194">
        <v>0.77777779102325439</v>
      </c>
      <c r="AE3" s="194">
        <v>18</v>
      </c>
      <c r="AF3" s="194">
        <v>0.72463768720626831</v>
      </c>
      <c r="AG3" s="194">
        <v>0.56693249940872192</v>
      </c>
      <c r="AH3" s="194">
        <v>0.88846653699874878</v>
      </c>
      <c r="AI3" s="194"/>
      <c r="AJ3" s="194"/>
      <c r="AK3" s="194">
        <v>0.72602736949920654</v>
      </c>
      <c r="AL3" s="194">
        <v>0.57139915227890015</v>
      </c>
      <c r="AM3" s="194">
        <v>0.88399988412857056</v>
      </c>
      <c r="AN3" s="194">
        <v>0.69565218687057495</v>
      </c>
      <c r="AO3" s="194">
        <v>23</v>
      </c>
      <c r="AP3" s="194">
        <v>0.66071426868438721</v>
      </c>
      <c r="AQ3" s="194">
        <v>0.54924499988555908</v>
      </c>
      <c r="AR3" s="194">
        <v>0.90615403652191162</v>
      </c>
      <c r="AS3" s="194">
        <v>0.46666666865348816</v>
      </c>
      <c r="AT3" s="194">
        <v>15</v>
      </c>
      <c r="AU3" s="194">
        <v>0.58333331346511841</v>
      </c>
      <c r="AV3" s="194">
        <v>0.53494662046432495</v>
      </c>
      <c r="AW3" s="194">
        <v>0.92045241594314575</v>
      </c>
      <c r="AX3" s="194">
        <v>0.5</v>
      </c>
      <c r="AY3" s="194">
        <v>10</v>
      </c>
      <c r="AZ3" s="194">
        <v>0.58333331346511841</v>
      </c>
      <c r="BA3" s="194">
        <v>0.53494662046432495</v>
      </c>
      <c r="BB3" s="194">
        <v>0.92045241594314575</v>
      </c>
      <c r="BC3" s="194"/>
      <c r="BD3" s="194"/>
      <c r="BE3" s="194">
        <v>0.72769951820373535</v>
      </c>
      <c r="BF3" s="194"/>
      <c r="BG3" s="194"/>
      <c r="BH3" s="194"/>
      <c r="BI3" s="194"/>
      <c r="BJ3" s="194"/>
      <c r="BK3" s="194"/>
      <c r="BL3" s="194"/>
      <c r="BM3" s="194"/>
      <c r="BN3" s="194"/>
      <c r="BO3" s="194"/>
      <c r="BP3" s="194"/>
      <c r="BQ3" s="194"/>
      <c r="BR3" s="194"/>
      <c r="BS3" s="194"/>
      <c r="BT3" s="194"/>
      <c r="BU3" s="194"/>
    </row>
    <row r="4" spans="1:73" x14ac:dyDescent="0.3">
      <c r="A4" s="193" t="s">
        <v>472</v>
      </c>
      <c r="B4" s="194">
        <v>0.93406593799591064</v>
      </c>
      <c r="C4" s="194">
        <v>0.7311665415763855</v>
      </c>
      <c r="D4" s="194">
        <v>0.95880311727523804</v>
      </c>
      <c r="E4" s="194">
        <v>0.86486488580703735</v>
      </c>
      <c r="F4" s="194">
        <v>37</v>
      </c>
      <c r="G4" s="194">
        <v>0.93000000715255737</v>
      </c>
      <c r="H4" s="194">
        <v>0.73640906810760498</v>
      </c>
      <c r="I4" s="194">
        <v>0.95356059074401855</v>
      </c>
      <c r="J4" s="194">
        <v>0.96153843402862549</v>
      </c>
      <c r="K4" s="194">
        <v>26</v>
      </c>
      <c r="L4" s="194">
        <v>0.92233008146286011</v>
      </c>
      <c r="M4" s="194">
        <v>0.73800194263458252</v>
      </c>
      <c r="N4" s="194">
        <v>0.95196771621704102</v>
      </c>
      <c r="O4" s="194">
        <v>0.92592591047286987</v>
      </c>
      <c r="P4" s="194">
        <v>27</v>
      </c>
      <c r="Q4" s="194">
        <v>0.89908254146575928</v>
      </c>
      <c r="R4" s="194">
        <v>0.74098813533782959</v>
      </c>
      <c r="S4" s="194">
        <v>0.94898152351379395</v>
      </c>
      <c r="T4" s="194">
        <v>0.84210526943206787</v>
      </c>
      <c r="U4" s="194">
        <v>19</v>
      </c>
      <c r="V4" s="194">
        <v>0.9263157844543457</v>
      </c>
      <c r="W4" s="194">
        <v>0.73358845710754395</v>
      </c>
      <c r="X4" s="194">
        <v>0.95638120174407959</v>
      </c>
      <c r="Y4" s="194">
        <v>0.95652174949645996</v>
      </c>
      <c r="Z4" s="194">
        <v>23</v>
      </c>
      <c r="AA4" s="194">
        <v>0.89473682641983032</v>
      </c>
      <c r="AB4" s="194">
        <v>0.73358845710754395</v>
      </c>
      <c r="AC4" s="194">
        <v>0.95638120174407959</v>
      </c>
      <c r="AD4" s="194">
        <v>0.8461538553237915</v>
      </c>
      <c r="AE4" s="194">
        <v>26</v>
      </c>
      <c r="AF4" s="194">
        <v>0.85555553436279297</v>
      </c>
      <c r="AG4" s="194">
        <v>0.73053592443466187</v>
      </c>
      <c r="AH4" s="194">
        <v>0.95943373441696167</v>
      </c>
      <c r="AI4" s="194">
        <v>0.77272725105285645</v>
      </c>
      <c r="AJ4" s="194">
        <v>22</v>
      </c>
      <c r="AK4" s="194">
        <v>0.86666667461395264</v>
      </c>
      <c r="AL4" s="194">
        <v>0.7390257716178894</v>
      </c>
      <c r="AM4" s="194">
        <v>0.95094388723373413</v>
      </c>
      <c r="AN4" s="194">
        <v>0.88235294818878174</v>
      </c>
      <c r="AO4" s="194">
        <v>34</v>
      </c>
      <c r="AP4" s="194">
        <v>0.83809524774551392</v>
      </c>
      <c r="AQ4" s="194">
        <v>0.7390257716178894</v>
      </c>
      <c r="AR4" s="194">
        <v>0.95094388723373413</v>
      </c>
      <c r="AS4" s="194">
        <v>0.82608693838119507</v>
      </c>
      <c r="AT4" s="194">
        <v>23</v>
      </c>
      <c r="AU4" s="194">
        <v>0.76068377494812012</v>
      </c>
      <c r="AV4" s="194">
        <v>0.74460649490356445</v>
      </c>
      <c r="AW4" s="194">
        <v>0.94536316394805908</v>
      </c>
      <c r="AX4" s="194">
        <v>0.60526317358016968</v>
      </c>
      <c r="AY4" s="194">
        <v>38</v>
      </c>
      <c r="AZ4" s="194">
        <v>0.77941179275512695</v>
      </c>
      <c r="BA4" s="194">
        <v>0.75188189744949341</v>
      </c>
      <c r="BB4" s="194">
        <v>0.93808776140213013</v>
      </c>
      <c r="BC4" s="194">
        <v>0.82926827669143677</v>
      </c>
      <c r="BD4" s="194">
        <v>41</v>
      </c>
      <c r="BE4" s="194">
        <v>0.84498482942581177</v>
      </c>
      <c r="BF4" s="194"/>
      <c r="BG4" s="194"/>
      <c r="BH4" s="194"/>
      <c r="BI4" s="194"/>
      <c r="BJ4" s="194"/>
      <c r="BK4" s="194"/>
      <c r="BL4" s="194"/>
      <c r="BM4" s="194"/>
      <c r="BN4" s="194"/>
      <c r="BO4" s="194"/>
      <c r="BP4" s="194"/>
      <c r="BQ4" s="194"/>
      <c r="BR4" s="194"/>
      <c r="BS4" s="194"/>
      <c r="BT4" s="194"/>
      <c r="BU4" s="194"/>
    </row>
    <row r="5" spans="1:73" x14ac:dyDescent="0.3">
      <c r="A5" s="193" t="s">
        <v>524</v>
      </c>
      <c r="B5" s="194">
        <v>0.82456141710281372</v>
      </c>
      <c r="C5" s="194">
        <v>0.72052258253097534</v>
      </c>
      <c r="D5" s="194">
        <v>0.93315702676773071</v>
      </c>
      <c r="E5" s="194">
        <v>0.85185188055038452</v>
      </c>
      <c r="F5" s="194">
        <v>27</v>
      </c>
      <c r="G5" s="194">
        <v>0.80180180072784424</v>
      </c>
      <c r="H5" s="194">
        <v>0.71909546852111816</v>
      </c>
      <c r="I5" s="194">
        <v>0.93458414077758789</v>
      </c>
      <c r="J5" s="194">
        <v>0.73333334922790527</v>
      </c>
      <c r="K5" s="194">
        <v>15</v>
      </c>
      <c r="L5" s="194">
        <v>0.81111109256744385</v>
      </c>
      <c r="M5" s="194">
        <v>0.70718371868133545</v>
      </c>
      <c r="N5" s="194">
        <v>0.94649589061737061</v>
      </c>
      <c r="O5" s="194">
        <v>0.71428573131561279</v>
      </c>
      <c r="P5" s="194">
        <v>14</v>
      </c>
      <c r="Q5" s="194">
        <v>0.77777779102325439</v>
      </c>
      <c r="R5" s="194">
        <v>0.69306027889251709</v>
      </c>
      <c r="S5" s="194">
        <v>0.96061933040618896</v>
      </c>
      <c r="T5" s="194">
        <v>0.75</v>
      </c>
      <c r="U5" s="194">
        <v>16</v>
      </c>
      <c r="V5" s="194">
        <v>0.75438594818115234</v>
      </c>
      <c r="W5" s="194">
        <v>0.67648458480834961</v>
      </c>
      <c r="X5" s="194">
        <v>0.97719502449035645</v>
      </c>
      <c r="Y5" s="194">
        <v>0.83333331346511841</v>
      </c>
      <c r="Z5" s="194">
        <v>12</v>
      </c>
      <c r="AA5" s="194">
        <v>0.79661017656326294</v>
      </c>
      <c r="AB5" s="194">
        <v>0.67905491590499878</v>
      </c>
      <c r="AC5" s="194">
        <v>0.97462469339370728</v>
      </c>
      <c r="AD5" s="194">
        <v>0.88235294818878174</v>
      </c>
      <c r="AE5" s="194">
        <v>17</v>
      </c>
      <c r="AF5" s="194">
        <v>0.8253968358039856</v>
      </c>
      <c r="AG5" s="194">
        <v>0.68382346630096436</v>
      </c>
      <c r="AH5" s="194">
        <v>0.9698561429977417</v>
      </c>
      <c r="AI5" s="194">
        <v>0.83333331346511841</v>
      </c>
      <c r="AJ5" s="194">
        <v>18</v>
      </c>
      <c r="AK5" s="194">
        <v>0.78787881135940552</v>
      </c>
      <c r="AL5" s="194">
        <v>0.68711161613464355</v>
      </c>
      <c r="AM5" s="194">
        <v>0.9665679931640625</v>
      </c>
      <c r="AN5" s="194">
        <v>0.63157892227172852</v>
      </c>
      <c r="AO5" s="194">
        <v>19</v>
      </c>
      <c r="AP5" s="194">
        <v>0.81690138578414917</v>
      </c>
      <c r="AQ5" s="194">
        <v>0.69212144613265991</v>
      </c>
      <c r="AR5" s="194">
        <v>0.96155816316604614</v>
      </c>
      <c r="AS5" s="194">
        <v>0.94117647409439087</v>
      </c>
      <c r="AT5" s="194">
        <v>17</v>
      </c>
      <c r="AU5" s="194">
        <v>0.84415584802627563</v>
      </c>
      <c r="AV5" s="194">
        <v>0.69747662544250488</v>
      </c>
      <c r="AW5" s="194">
        <v>0.95620298385620117</v>
      </c>
      <c r="AX5" s="194">
        <v>0.95652174949645996</v>
      </c>
      <c r="AY5" s="194">
        <v>23</v>
      </c>
      <c r="AZ5" s="194">
        <v>0.8461538553237915</v>
      </c>
      <c r="BA5" s="194">
        <v>0.69830858707427979</v>
      </c>
      <c r="BB5" s="194">
        <v>0.95537102222442627</v>
      </c>
      <c r="BC5" s="194">
        <v>0.84210526943206787</v>
      </c>
      <c r="BD5" s="194">
        <v>19</v>
      </c>
      <c r="BE5" s="194">
        <v>0.82683980464935303</v>
      </c>
      <c r="BF5" s="194"/>
      <c r="BG5" s="194"/>
      <c r="BH5" s="194"/>
      <c r="BI5" s="194"/>
      <c r="BJ5" s="194"/>
      <c r="BK5" s="194"/>
      <c r="BL5" s="194"/>
      <c r="BM5" s="194"/>
      <c r="BN5" s="194"/>
      <c r="BO5" s="194"/>
      <c r="BP5" s="194"/>
      <c r="BQ5" s="194"/>
      <c r="BR5" s="194"/>
      <c r="BS5" s="194"/>
      <c r="BT5" s="194"/>
      <c r="BU5" s="194"/>
    </row>
    <row r="6" spans="1:73" x14ac:dyDescent="0.3">
      <c r="A6" s="193" t="s">
        <v>281</v>
      </c>
      <c r="B6" s="194"/>
      <c r="C6" s="194"/>
      <c r="D6" s="194"/>
      <c r="E6" s="194">
        <v>0.83333331346511841</v>
      </c>
      <c r="F6" s="194">
        <v>12</v>
      </c>
      <c r="G6" s="194"/>
      <c r="H6" s="194"/>
      <c r="I6" s="194"/>
      <c r="J6" s="194"/>
      <c r="K6" s="194"/>
      <c r="L6" s="194"/>
      <c r="M6" s="194"/>
      <c r="N6" s="194"/>
      <c r="O6" s="194">
        <v>0.66666668653488159</v>
      </c>
      <c r="P6" s="194">
        <v>21</v>
      </c>
      <c r="Q6" s="194"/>
      <c r="R6" s="194"/>
      <c r="S6" s="194"/>
      <c r="T6" s="194">
        <v>0.64705884456634521</v>
      </c>
      <c r="U6" s="194">
        <v>17</v>
      </c>
      <c r="V6" s="194"/>
      <c r="W6" s="194"/>
      <c r="X6" s="194"/>
      <c r="Y6" s="194"/>
      <c r="Z6" s="194"/>
      <c r="AA6" s="194"/>
      <c r="AB6" s="194"/>
      <c r="AC6" s="194"/>
      <c r="AD6" s="194"/>
      <c r="AE6" s="194"/>
      <c r="AF6" s="194"/>
      <c r="AG6" s="194"/>
      <c r="AH6" s="194"/>
      <c r="AI6" s="194">
        <v>0.54545456171035767</v>
      </c>
      <c r="AJ6" s="194">
        <v>11</v>
      </c>
      <c r="AK6" s="194"/>
      <c r="AL6" s="194"/>
      <c r="AM6" s="194"/>
      <c r="AN6" s="194">
        <v>0.81818181276321411</v>
      </c>
      <c r="AO6" s="194">
        <v>11</v>
      </c>
      <c r="AP6" s="194"/>
      <c r="AQ6" s="194"/>
      <c r="AR6" s="194"/>
      <c r="AS6" s="194"/>
      <c r="AT6" s="194"/>
      <c r="AU6" s="194"/>
      <c r="AV6" s="194"/>
      <c r="AW6" s="194"/>
      <c r="AX6" s="194">
        <v>0.66666668653488159</v>
      </c>
      <c r="AY6" s="194">
        <v>21</v>
      </c>
      <c r="AZ6" s="194"/>
      <c r="BA6" s="194"/>
      <c r="BB6" s="194"/>
      <c r="BC6" s="194"/>
      <c r="BD6" s="194"/>
      <c r="BE6" s="194"/>
      <c r="BF6" s="194"/>
      <c r="BG6" s="194"/>
      <c r="BH6" s="194"/>
      <c r="BI6" s="194"/>
      <c r="BJ6" s="194"/>
      <c r="BK6" s="194"/>
      <c r="BL6" s="194"/>
      <c r="BM6" s="194"/>
      <c r="BN6" s="194"/>
      <c r="BO6" s="194"/>
      <c r="BP6" s="194"/>
      <c r="BQ6" s="194"/>
      <c r="BR6" s="194"/>
      <c r="BS6" s="194"/>
      <c r="BT6" s="194"/>
      <c r="BU6" s="194"/>
    </row>
    <row r="7" spans="1:73" x14ac:dyDescent="0.3">
      <c r="A7" s="193" t="s">
        <v>398</v>
      </c>
      <c r="B7" s="194"/>
      <c r="C7" s="194"/>
      <c r="D7" s="194"/>
      <c r="E7" s="194">
        <v>0.72727274894714355</v>
      </c>
      <c r="F7" s="194">
        <v>11</v>
      </c>
      <c r="G7" s="194"/>
      <c r="H7" s="194"/>
      <c r="I7" s="194"/>
      <c r="J7" s="194"/>
      <c r="K7" s="194"/>
      <c r="L7" s="194"/>
      <c r="M7" s="194"/>
      <c r="N7" s="194"/>
      <c r="O7" s="194">
        <v>0.5</v>
      </c>
      <c r="P7" s="194">
        <v>20</v>
      </c>
      <c r="Q7" s="194"/>
      <c r="R7" s="194"/>
      <c r="S7" s="194"/>
      <c r="T7" s="194"/>
      <c r="U7" s="194"/>
      <c r="V7" s="194"/>
      <c r="W7" s="194"/>
      <c r="X7" s="194"/>
      <c r="Y7" s="194">
        <v>0.90909093618392944</v>
      </c>
      <c r="Z7" s="194">
        <v>11</v>
      </c>
      <c r="AA7" s="194"/>
      <c r="AB7" s="194"/>
      <c r="AC7" s="194"/>
      <c r="AD7" s="194"/>
      <c r="AE7" s="194"/>
      <c r="AF7" s="194"/>
      <c r="AG7" s="194"/>
      <c r="AH7" s="194"/>
      <c r="AI7" s="194">
        <v>0.90909093618392944</v>
      </c>
      <c r="AJ7" s="194">
        <v>11</v>
      </c>
      <c r="AK7" s="194"/>
      <c r="AL7" s="194"/>
      <c r="AM7" s="194"/>
      <c r="AN7" s="194">
        <v>0.69999998807907104</v>
      </c>
      <c r="AO7" s="194">
        <v>10</v>
      </c>
      <c r="AP7" s="194"/>
      <c r="AQ7" s="194"/>
      <c r="AR7" s="194"/>
      <c r="AS7" s="194">
        <v>0.80000001192092896</v>
      </c>
      <c r="AT7" s="194">
        <v>10</v>
      </c>
      <c r="AU7" s="194"/>
      <c r="AV7" s="194"/>
      <c r="AW7" s="194"/>
      <c r="AX7" s="194">
        <v>0.86666667461395264</v>
      </c>
      <c r="AY7" s="194">
        <v>15</v>
      </c>
      <c r="AZ7" s="194"/>
      <c r="BA7" s="194"/>
      <c r="BB7" s="194"/>
      <c r="BC7" s="194">
        <v>0.93333333730697632</v>
      </c>
      <c r="BD7" s="194">
        <v>15</v>
      </c>
      <c r="BE7" s="194"/>
      <c r="BF7" s="194"/>
      <c r="BG7" s="194"/>
      <c r="BH7" s="194"/>
      <c r="BI7" s="194"/>
      <c r="BJ7" s="194"/>
      <c r="BK7" s="194"/>
      <c r="BL7" s="194"/>
      <c r="BM7" s="194"/>
      <c r="BN7" s="194"/>
      <c r="BO7" s="194"/>
      <c r="BP7" s="194"/>
      <c r="BQ7" s="194"/>
      <c r="BR7" s="194"/>
      <c r="BS7" s="194"/>
      <c r="BT7" s="194"/>
      <c r="BU7" s="194"/>
    </row>
    <row r="8" spans="1:73" x14ac:dyDescent="0.3">
      <c r="A8" s="193" t="s">
        <v>452</v>
      </c>
      <c r="B8" s="194"/>
      <c r="C8" s="194"/>
      <c r="D8" s="194"/>
      <c r="E8" s="194">
        <v>0.90909093618392944</v>
      </c>
      <c r="F8" s="194">
        <v>11</v>
      </c>
      <c r="G8" s="194"/>
      <c r="H8" s="194"/>
      <c r="I8" s="194"/>
      <c r="J8" s="194"/>
      <c r="K8" s="194"/>
      <c r="L8" s="194"/>
      <c r="M8" s="194"/>
      <c r="N8" s="194"/>
      <c r="O8" s="194">
        <v>0.9375</v>
      </c>
      <c r="P8" s="194">
        <v>16</v>
      </c>
      <c r="Q8" s="194"/>
      <c r="R8" s="194"/>
      <c r="S8" s="194"/>
      <c r="T8" s="194">
        <v>0.89999997615814209</v>
      </c>
      <c r="U8" s="194">
        <v>10</v>
      </c>
      <c r="V8" s="194"/>
      <c r="W8" s="194"/>
      <c r="X8" s="194"/>
      <c r="Y8" s="194"/>
      <c r="Z8" s="194"/>
      <c r="AA8" s="194"/>
      <c r="AB8" s="194"/>
      <c r="AC8" s="194"/>
      <c r="AD8" s="194">
        <v>0.80000001192092896</v>
      </c>
      <c r="AE8" s="194">
        <v>15</v>
      </c>
      <c r="AF8" s="194"/>
      <c r="AG8" s="194"/>
      <c r="AH8" s="194"/>
      <c r="AI8" s="194"/>
      <c r="AJ8" s="194"/>
      <c r="AK8" s="194"/>
      <c r="AL8" s="194"/>
      <c r="AM8" s="194"/>
      <c r="AN8" s="194">
        <v>1</v>
      </c>
      <c r="AO8" s="194">
        <v>10</v>
      </c>
      <c r="AP8" s="194"/>
      <c r="AQ8" s="194"/>
      <c r="AR8" s="194"/>
      <c r="AS8" s="194">
        <v>0.8571428656578064</v>
      </c>
      <c r="AT8" s="194">
        <v>14</v>
      </c>
      <c r="AU8" s="194"/>
      <c r="AV8" s="194"/>
      <c r="AW8" s="194"/>
      <c r="AX8" s="194">
        <v>0.83333331346511841</v>
      </c>
      <c r="AY8" s="194">
        <v>12</v>
      </c>
      <c r="AZ8" s="194"/>
      <c r="BA8" s="194"/>
      <c r="BB8" s="194"/>
      <c r="BC8" s="194">
        <v>0.6428571343421936</v>
      </c>
      <c r="BD8" s="194">
        <v>14</v>
      </c>
      <c r="BE8" s="194"/>
      <c r="BF8" s="194"/>
      <c r="BG8" s="194"/>
      <c r="BH8" s="194"/>
      <c r="BI8" s="194"/>
      <c r="BJ8" s="194"/>
      <c r="BK8" s="194"/>
      <c r="BL8" s="194"/>
      <c r="BM8" s="194"/>
      <c r="BN8" s="194"/>
      <c r="BO8" s="194"/>
      <c r="BP8" s="194"/>
      <c r="BQ8" s="194"/>
      <c r="BR8" s="194"/>
      <c r="BS8" s="194"/>
      <c r="BT8" s="194"/>
      <c r="BU8" s="194"/>
    </row>
    <row r="9" spans="1:73" x14ac:dyDescent="0.3">
      <c r="A9" s="193" t="s">
        <v>510</v>
      </c>
      <c r="B9" s="194"/>
      <c r="C9" s="194"/>
      <c r="D9" s="194"/>
      <c r="E9" s="194">
        <v>0.90909093618392944</v>
      </c>
      <c r="F9" s="194">
        <v>11</v>
      </c>
      <c r="G9" s="194"/>
      <c r="H9" s="194"/>
      <c r="I9" s="194"/>
      <c r="J9" s="194"/>
      <c r="K9" s="194"/>
      <c r="L9" s="194"/>
      <c r="M9" s="194"/>
      <c r="N9" s="194"/>
      <c r="O9" s="194">
        <v>0.66666668653488159</v>
      </c>
      <c r="P9" s="194">
        <v>18</v>
      </c>
      <c r="Q9" s="194"/>
      <c r="R9" s="194"/>
      <c r="S9" s="194"/>
      <c r="T9" s="194"/>
      <c r="U9" s="194"/>
      <c r="V9" s="194"/>
      <c r="W9" s="194"/>
      <c r="X9" s="194"/>
      <c r="Y9" s="194">
        <v>0.76923078298568726</v>
      </c>
      <c r="Z9" s="194">
        <v>13</v>
      </c>
      <c r="AA9" s="194"/>
      <c r="AB9" s="194"/>
      <c r="AC9" s="194"/>
      <c r="AD9" s="194"/>
      <c r="AE9" s="194"/>
      <c r="AF9" s="194"/>
      <c r="AG9" s="194"/>
      <c r="AH9" s="194"/>
      <c r="AI9" s="194"/>
      <c r="AJ9" s="194"/>
      <c r="AK9" s="194"/>
      <c r="AL9" s="194"/>
      <c r="AM9" s="194"/>
      <c r="AN9" s="194">
        <v>0.69999998807907104</v>
      </c>
      <c r="AO9" s="194">
        <v>10</v>
      </c>
      <c r="AP9" s="194"/>
      <c r="AQ9" s="194"/>
      <c r="AR9" s="194"/>
      <c r="AS9" s="194"/>
      <c r="AT9" s="194"/>
      <c r="AU9" s="194"/>
      <c r="AV9" s="194"/>
      <c r="AW9" s="194"/>
      <c r="AX9" s="194">
        <v>0.8571428656578064</v>
      </c>
      <c r="AY9" s="194">
        <v>14</v>
      </c>
      <c r="AZ9" s="194"/>
      <c r="BA9" s="194"/>
      <c r="BB9" s="194"/>
      <c r="BC9" s="194"/>
      <c r="BD9" s="194"/>
      <c r="BE9" s="194"/>
      <c r="BF9" s="194"/>
      <c r="BG9" s="194"/>
      <c r="BH9" s="194"/>
      <c r="BI9" s="194"/>
      <c r="BJ9" s="194"/>
      <c r="BK9" s="194"/>
      <c r="BL9" s="194"/>
      <c r="BM9" s="194"/>
      <c r="BN9" s="194"/>
      <c r="BO9" s="194"/>
      <c r="BP9" s="194"/>
      <c r="BQ9" s="194"/>
      <c r="BR9" s="194"/>
      <c r="BS9" s="194"/>
      <c r="BT9" s="194"/>
      <c r="BU9" s="194"/>
    </row>
    <row r="10" spans="1:73" x14ac:dyDescent="0.3">
      <c r="A10" s="193" t="s">
        <v>296</v>
      </c>
      <c r="B10" s="194">
        <v>0.75</v>
      </c>
      <c r="C10" s="194">
        <v>0.3889269232749939</v>
      </c>
      <c r="D10" s="194">
        <v>0.92686253786087036</v>
      </c>
      <c r="E10" s="194"/>
      <c r="F10" s="194"/>
      <c r="G10" s="194">
        <v>0.70833331346511841</v>
      </c>
      <c r="H10" s="194">
        <v>0.4524671733379364</v>
      </c>
      <c r="I10" s="194">
        <v>0.86332231760025024</v>
      </c>
      <c r="J10" s="194">
        <v>0.64999997615814209</v>
      </c>
      <c r="K10" s="194">
        <v>20</v>
      </c>
      <c r="L10" s="194">
        <v>0.67500001192092896</v>
      </c>
      <c r="M10" s="194">
        <v>0.4328601062297821</v>
      </c>
      <c r="N10" s="194">
        <v>0.88292938470840454</v>
      </c>
      <c r="O10" s="194">
        <v>0.69999998807907104</v>
      </c>
      <c r="P10" s="194">
        <v>10</v>
      </c>
      <c r="Q10" s="194">
        <v>0.67500001192092896</v>
      </c>
      <c r="R10" s="194">
        <v>0.4328601062297821</v>
      </c>
      <c r="S10" s="194">
        <v>0.88292938470840454</v>
      </c>
      <c r="T10" s="194">
        <v>0.69999998807907104</v>
      </c>
      <c r="U10" s="194">
        <v>10</v>
      </c>
      <c r="V10" s="194">
        <v>0.66666668653488159</v>
      </c>
      <c r="W10" s="194">
        <v>0.4586007297039032</v>
      </c>
      <c r="X10" s="194">
        <v>0.85718876123428345</v>
      </c>
      <c r="Y10" s="194">
        <v>0.63636362552642822</v>
      </c>
      <c r="Z10" s="194">
        <v>11</v>
      </c>
      <c r="AA10" s="194">
        <v>0.65909093618392944</v>
      </c>
      <c r="AB10" s="194">
        <v>0.44333264231681824</v>
      </c>
      <c r="AC10" s="194">
        <v>0.87245684862136841</v>
      </c>
      <c r="AD10" s="194">
        <v>0.61538463830947876</v>
      </c>
      <c r="AE10" s="194">
        <v>13</v>
      </c>
      <c r="AF10" s="194">
        <v>0.64705884456634521</v>
      </c>
      <c r="AG10" s="194">
        <v>0.41381040215492249</v>
      </c>
      <c r="AH10" s="194">
        <v>0.90197902917861938</v>
      </c>
      <c r="AI10" s="194"/>
      <c r="AJ10" s="194"/>
      <c r="AK10" s="194">
        <v>0.67500001192092896</v>
      </c>
      <c r="AL10" s="194">
        <v>0.4328601062297821</v>
      </c>
      <c r="AM10" s="194">
        <v>0.88292938470840454</v>
      </c>
      <c r="AN10" s="194">
        <v>0.75</v>
      </c>
      <c r="AO10" s="194">
        <v>16</v>
      </c>
      <c r="AP10" s="194">
        <v>0.60975611209869385</v>
      </c>
      <c r="AQ10" s="194">
        <v>0.43562138080596924</v>
      </c>
      <c r="AR10" s="194">
        <v>0.88016808032989502</v>
      </c>
      <c r="AS10" s="194">
        <v>0.4166666567325592</v>
      </c>
      <c r="AT10" s="194">
        <v>12</v>
      </c>
      <c r="AU10" s="194">
        <v>0.6071428656578064</v>
      </c>
      <c r="AV10" s="194">
        <v>0.3889269232749939</v>
      </c>
      <c r="AW10" s="194">
        <v>0.92686253786087036</v>
      </c>
      <c r="AX10" s="194"/>
      <c r="AY10" s="194"/>
      <c r="AZ10" s="194">
        <v>0.64999997615814209</v>
      </c>
      <c r="BA10" s="194">
        <v>0.4328601062297821</v>
      </c>
      <c r="BB10" s="194">
        <v>0.88292938470840454</v>
      </c>
      <c r="BC10" s="194">
        <v>0.75</v>
      </c>
      <c r="BD10" s="194">
        <v>12</v>
      </c>
      <c r="BE10" s="194">
        <v>0.65789473056793213</v>
      </c>
      <c r="BF10" s="194"/>
      <c r="BG10" s="194"/>
      <c r="BH10" s="194"/>
      <c r="BI10" s="194"/>
      <c r="BJ10" s="194"/>
      <c r="BK10" s="194"/>
      <c r="BL10" s="194"/>
      <c r="BM10" s="194"/>
      <c r="BN10" s="194"/>
      <c r="BO10" s="194"/>
      <c r="BP10" s="194"/>
      <c r="BQ10" s="194"/>
      <c r="BR10" s="194"/>
      <c r="BS10" s="194"/>
      <c r="BT10" s="194"/>
      <c r="BU10" s="194"/>
    </row>
    <row r="11" spans="1:73" x14ac:dyDescent="0.3">
      <c r="A11" s="193" t="s">
        <v>406</v>
      </c>
      <c r="B11" s="194">
        <v>0.64341086149215698</v>
      </c>
      <c r="C11" s="194">
        <v>0.46064439415931702</v>
      </c>
      <c r="D11" s="194">
        <v>0.72041410207748413</v>
      </c>
      <c r="E11" s="194">
        <v>0.6388888955116272</v>
      </c>
      <c r="F11" s="194">
        <v>36</v>
      </c>
      <c r="G11" s="194">
        <v>0.64963501691818237</v>
      </c>
      <c r="H11" s="194">
        <v>0.46449369192123413</v>
      </c>
      <c r="I11" s="194">
        <v>0.7165648341178894</v>
      </c>
      <c r="J11" s="194">
        <v>0.54838711023330688</v>
      </c>
      <c r="K11" s="194">
        <v>31</v>
      </c>
      <c r="L11" s="194">
        <v>0.60000002384185791</v>
      </c>
      <c r="M11" s="194">
        <v>0.46114492416381836</v>
      </c>
      <c r="N11" s="194">
        <v>0.71991360187530518</v>
      </c>
      <c r="O11" s="194">
        <v>0.65714287757873535</v>
      </c>
      <c r="P11" s="194">
        <v>35</v>
      </c>
      <c r="Q11" s="194">
        <v>0.64963501691818237</v>
      </c>
      <c r="R11" s="194">
        <v>0.46449369192123413</v>
      </c>
      <c r="S11" s="194">
        <v>0.7165648341178894</v>
      </c>
      <c r="T11" s="194">
        <v>0.74285715818405151</v>
      </c>
      <c r="U11" s="194">
        <v>35</v>
      </c>
      <c r="V11" s="194">
        <v>0.62400001287460327</v>
      </c>
      <c r="W11" s="194">
        <v>0.45858260989189148</v>
      </c>
      <c r="X11" s="194">
        <v>0.72247594594955444</v>
      </c>
      <c r="Y11" s="194">
        <v>0.5</v>
      </c>
      <c r="Z11" s="194">
        <v>24</v>
      </c>
      <c r="AA11" s="194">
        <v>0.61538463830947876</v>
      </c>
      <c r="AB11" s="194">
        <v>0.45414617657661438</v>
      </c>
      <c r="AC11" s="194">
        <v>0.72691231966018677</v>
      </c>
      <c r="AD11" s="194">
        <v>0.47826087474822998</v>
      </c>
      <c r="AE11" s="194">
        <v>23</v>
      </c>
      <c r="AF11" s="194">
        <v>0.57446807622909546</v>
      </c>
      <c r="AG11" s="194">
        <v>0.43837311863899231</v>
      </c>
      <c r="AH11" s="194">
        <v>0.74268537759780884</v>
      </c>
      <c r="AI11" s="194">
        <v>0.4166666567325592</v>
      </c>
      <c r="AJ11" s="194">
        <v>12</v>
      </c>
      <c r="AK11" s="194">
        <v>0.4482758641242981</v>
      </c>
      <c r="AL11" s="194">
        <v>0.43237030506134033</v>
      </c>
      <c r="AM11" s="194">
        <v>0.7486882209777832</v>
      </c>
      <c r="AN11" s="194">
        <v>0.3928571343421936</v>
      </c>
      <c r="AO11" s="194">
        <v>28</v>
      </c>
      <c r="AP11" s="194">
        <v>0.48387095332145691</v>
      </c>
      <c r="AQ11" s="194">
        <v>0.43755728006362915</v>
      </c>
      <c r="AR11" s="194">
        <v>0.74350124597549438</v>
      </c>
      <c r="AS11" s="194">
        <v>0.60000002384185791</v>
      </c>
      <c r="AT11" s="194">
        <v>30</v>
      </c>
      <c r="AU11" s="194">
        <v>0.51063829660415649</v>
      </c>
      <c r="AV11" s="194">
        <v>0.43837311863899231</v>
      </c>
      <c r="AW11" s="194">
        <v>0.74268537759780884</v>
      </c>
      <c r="AX11" s="194">
        <v>0.58333331346511841</v>
      </c>
      <c r="AY11" s="194">
        <v>24</v>
      </c>
      <c r="AZ11" s="194">
        <v>0.59259259700775146</v>
      </c>
      <c r="BA11" s="194">
        <v>0.46356353163719177</v>
      </c>
      <c r="BB11" s="194">
        <v>0.71749496459960938</v>
      </c>
      <c r="BC11" s="194">
        <v>0.69811320304870605</v>
      </c>
      <c r="BD11" s="194">
        <v>53</v>
      </c>
      <c r="BE11" s="194">
        <v>0.59052926301956177</v>
      </c>
      <c r="BF11" s="194"/>
      <c r="BG11" s="194"/>
      <c r="BH11" s="194"/>
      <c r="BI11" s="194"/>
      <c r="BJ11" s="194"/>
      <c r="BK11" s="194"/>
      <c r="BL11" s="194"/>
      <c r="BM11" s="194"/>
      <c r="BN11" s="194"/>
      <c r="BO11" s="194"/>
      <c r="BP11" s="194"/>
      <c r="BQ11" s="194"/>
      <c r="BR11" s="194"/>
      <c r="BS11" s="194"/>
      <c r="BT11" s="194"/>
      <c r="BU11" s="194"/>
    </row>
    <row r="12" spans="1:73" x14ac:dyDescent="0.3">
      <c r="A12" s="193" t="s">
        <v>450</v>
      </c>
      <c r="B12" s="194">
        <v>0.85474860668182373</v>
      </c>
      <c r="C12" s="194">
        <v>0.64728903770446777</v>
      </c>
      <c r="D12" s="194">
        <v>0.84275078773498535</v>
      </c>
      <c r="E12" s="194">
        <v>0.80000001192092896</v>
      </c>
      <c r="F12" s="194">
        <v>50</v>
      </c>
      <c r="G12" s="194">
        <v>0.82653063535690308</v>
      </c>
      <c r="H12" s="194">
        <v>0.65162348747253418</v>
      </c>
      <c r="I12" s="194">
        <v>0.83841633796691895</v>
      </c>
      <c r="J12" s="194">
        <v>0.76595747470855713</v>
      </c>
      <c r="K12" s="194">
        <v>47</v>
      </c>
      <c r="L12" s="194">
        <v>0.81052631139755249</v>
      </c>
      <c r="M12" s="194">
        <v>0.65016025304794312</v>
      </c>
      <c r="N12" s="194">
        <v>0.83987957239151001</v>
      </c>
      <c r="O12" s="194">
        <v>0.75</v>
      </c>
      <c r="P12" s="194">
        <v>44</v>
      </c>
      <c r="Q12" s="194">
        <v>0.79781419038772583</v>
      </c>
      <c r="R12" s="194">
        <v>0.64836305379867554</v>
      </c>
      <c r="S12" s="194">
        <v>0.84167677164077759</v>
      </c>
      <c r="T12" s="194">
        <v>0.88095235824584961</v>
      </c>
      <c r="U12" s="194">
        <v>42</v>
      </c>
      <c r="V12" s="194">
        <v>0.77049177885055542</v>
      </c>
      <c r="W12" s="194">
        <v>0.64836305379867554</v>
      </c>
      <c r="X12" s="194">
        <v>0.84167677164077759</v>
      </c>
      <c r="Y12" s="194">
        <v>0.69999998807907104</v>
      </c>
      <c r="Z12" s="194">
        <v>50</v>
      </c>
      <c r="AA12" s="194">
        <v>0.75706213712692261</v>
      </c>
      <c r="AB12" s="194">
        <v>0.64673840999603271</v>
      </c>
      <c r="AC12" s="194">
        <v>0.84330141544342041</v>
      </c>
      <c r="AD12" s="194">
        <v>0.707317054271698</v>
      </c>
      <c r="AE12" s="194">
        <v>41</v>
      </c>
      <c r="AF12" s="194">
        <v>0.72727274894714355</v>
      </c>
      <c r="AG12" s="194">
        <v>0.63965451717376709</v>
      </c>
      <c r="AH12" s="194">
        <v>0.85038530826568604</v>
      </c>
      <c r="AI12" s="194">
        <v>0.52380955219268799</v>
      </c>
      <c r="AJ12" s="194">
        <v>21</v>
      </c>
      <c r="AK12" s="194">
        <v>0.63043481111526489</v>
      </c>
      <c r="AL12" s="194">
        <v>0.63371384143829346</v>
      </c>
      <c r="AM12" s="194">
        <v>0.85632598400115967</v>
      </c>
      <c r="AN12" s="194">
        <v>0.46153846383094788</v>
      </c>
      <c r="AO12" s="194">
        <v>26</v>
      </c>
      <c r="AP12" s="194">
        <v>0.64166665077209473</v>
      </c>
      <c r="AQ12" s="194">
        <v>0.62565743923187256</v>
      </c>
      <c r="AR12" s="194">
        <v>0.86438238620758057</v>
      </c>
      <c r="AS12" s="194">
        <v>0.78125</v>
      </c>
      <c r="AT12" s="194">
        <v>32</v>
      </c>
      <c r="AU12" s="194">
        <v>0.640625</v>
      </c>
      <c r="AV12" s="194">
        <v>0.62944769859313965</v>
      </c>
      <c r="AW12" s="194">
        <v>0.86059212684631348</v>
      </c>
      <c r="AX12" s="194">
        <v>0.69387757778167725</v>
      </c>
      <c r="AY12" s="194">
        <v>49</v>
      </c>
      <c r="AZ12" s="194">
        <v>0.68354427814483643</v>
      </c>
      <c r="BA12" s="194">
        <v>0.64099681377410889</v>
      </c>
      <c r="BB12" s="194">
        <v>0.84904301166534424</v>
      </c>
      <c r="BC12" s="194">
        <v>0.72549021244049072</v>
      </c>
      <c r="BD12" s="194">
        <v>51</v>
      </c>
      <c r="BE12" s="194">
        <v>0.74501991271972656</v>
      </c>
      <c r="BF12" s="194"/>
      <c r="BG12" s="194"/>
      <c r="BH12" s="194"/>
      <c r="BI12" s="194"/>
      <c r="BJ12" s="194"/>
      <c r="BK12" s="194"/>
      <c r="BL12" s="194"/>
      <c r="BM12" s="194"/>
      <c r="BN12" s="194"/>
      <c r="BO12" s="194"/>
      <c r="BP12" s="194"/>
      <c r="BQ12" s="194"/>
      <c r="BR12" s="194"/>
      <c r="BS12" s="194"/>
      <c r="BT12" s="194"/>
      <c r="BU12" s="194"/>
    </row>
    <row r="13" spans="1:73" x14ac:dyDescent="0.3">
      <c r="A13" s="193" t="s">
        <v>386</v>
      </c>
      <c r="B13" s="194"/>
      <c r="C13" s="194"/>
      <c r="D13" s="194"/>
      <c r="E13" s="194">
        <v>0.93333333730697632</v>
      </c>
      <c r="F13" s="194">
        <v>15</v>
      </c>
      <c r="G13" s="194"/>
      <c r="H13" s="194"/>
      <c r="I13" s="194"/>
      <c r="J13" s="194"/>
      <c r="K13" s="194"/>
      <c r="L13" s="194"/>
      <c r="M13" s="194"/>
      <c r="N13" s="194"/>
      <c r="O13" s="194"/>
      <c r="P13" s="194"/>
      <c r="Q13" s="194"/>
      <c r="R13" s="194"/>
      <c r="S13" s="194"/>
      <c r="T13" s="194"/>
      <c r="U13" s="194"/>
      <c r="V13" s="194"/>
      <c r="W13" s="194"/>
      <c r="X13" s="194"/>
      <c r="Y13" s="194">
        <v>0.91666668653488159</v>
      </c>
      <c r="Z13" s="194">
        <v>12</v>
      </c>
      <c r="AA13" s="194"/>
      <c r="AB13" s="194"/>
      <c r="AC13" s="194"/>
      <c r="AD13" s="194"/>
      <c r="AE13" s="194"/>
      <c r="AF13" s="194"/>
      <c r="AG13" s="194"/>
      <c r="AH13" s="194"/>
      <c r="AI13" s="194">
        <v>0.91666668653488159</v>
      </c>
      <c r="AJ13" s="194">
        <v>12</v>
      </c>
      <c r="AK13" s="194"/>
      <c r="AL13" s="194"/>
      <c r="AM13" s="194"/>
      <c r="AN13" s="194"/>
      <c r="AO13" s="194"/>
      <c r="AP13" s="194"/>
      <c r="AQ13" s="194"/>
      <c r="AR13" s="194"/>
      <c r="AS13" s="194">
        <v>0.85000002384185791</v>
      </c>
      <c r="AT13" s="194">
        <v>20</v>
      </c>
      <c r="AU13" s="194"/>
      <c r="AV13" s="194"/>
      <c r="AW13" s="194"/>
      <c r="AX13" s="194">
        <v>0.83333331346511841</v>
      </c>
      <c r="AY13" s="194">
        <v>12</v>
      </c>
      <c r="AZ13" s="194"/>
      <c r="BA13" s="194"/>
      <c r="BB13" s="194"/>
      <c r="BC13" s="194"/>
      <c r="BD13" s="194"/>
      <c r="BE13" s="194"/>
      <c r="BF13" s="194"/>
      <c r="BG13" s="194"/>
      <c r="BH13" s="194"/>
      <c r="BI13" s="194"/>
      <c r="BJ13" s="194"/>
      <c r="BK13" s="194"/>
      <c r="BL13" s="194"/>
      <c r="BM13" s="194"/>
      <c r="BN13" s="194"/>
      <c r="BO13" s="194"/>
      <c r="BP13" s="194"/>
      <c r="BQ13" s="194"/>
      <c r="BR13" s="194"/>
      <c r="BS13" s="194"/>
      <c r="BT13" s="194"/>
      <c r="BU13" s="194"/>
    </row>
    <row r="14" spans="1:73" x14ac:dyDescent="0.3">
      <c r="A14" s="193" t="s">
        <v>333</v>
      </c>
      <c r="B14" s="194"/>
      <c r="C14" s="194"/>
      <c r="D14" s="194"/>
      <c r="E14" s="194">
        <v>0.86666667461395264</v>
      </c>
      <c r="F14" s="194">
        <v>15</v>
      </c>
      <c r="G14" s="194"/>
      <c r="H14" s="194"/>
      <c r="I14" s="194"/>
      <c r="J14" s="194"/>
      <c r="K14" s="194"/>
      <c r="L14" s="194"/>
      <c r="M14" s="194"/>
      <c r="N14" s="194"/>
      <c r="O14" s="194">
        <v>1</v>
      </c>
      <c r="P14" s="194">
        <v>13</v>
      </c>
      <c r="Q14" s="194"/>
      <c r="R14" s="194"/>
      <c r="S14" s="194"/>
      <c r="T14" s="194"/>
      <c r="U14" s="194"/>
      <c r="V14" s="194"/>
      <c r="W14" s="194"/>
      <c r="X14" s="194"/>
      <c r="Y14" s="194">
        <v>0.76470589637756348</v>
      </c>
      <c r="Z14" s="194">
        <v>17</v>
      </c>
      <c r="AA14" s="194"/>
      <c r="AB14" s="194"/>
      <c r="AC14" s="194"/>
      <c r="AD14" s="194"/>
      <c r="AE14" s="194"/>
      <c r="AF14" s="194"/>
      <c r="AG14" s="194"/>
      <c r="AH14" s="194"/>
      <c r="AI14" s="194">
        <v>0.75</v>
      </c>
      <c r="AJ14" s="194">
        <v>16</v>
      </c>
      <c r="AK14" s="194"/>
      <c r="AL14" s="194"/>
      <c r="AM14" s="194"/>
      <c r="AN14" s="194"/>
      <c r="AO14" s="194"/>
      <c r="AP14" s="194"/>
      <c r="AQ14" s="194"/>
      <c r="AR14" s="194"/>
      <c r="AS14" s="194">
        <v>1</v>
      </c>
      <c r="AT14" s="194">
        <v>12</v>
      </c>
      <c r="AU14" s="194"/>
      <c r="AV14" s="194"/>
      <c r="AW14" s="194"/>
      <c r="AX14" s="194"/>
      <c r="AY14" s="194"/>
      <c r="AZ14" s="194"/>
      <c r="BA14" s="194"/>
      <c r="BB14" s="194"/>
      <c r="BC14" s="194">
        <v>0.6111111044883728</v>
      </c>
      <c r="BD14" s="194">
        <v>18</v>
      </c>
      <c r="BE14" s="194"/>
      <c r="BF14" s="194"/>
      <c r="BG14" s="194"/>
      <c r="BH14" s="194"/>
      <c r="BI14" s="194"/>
      <c r="BJ14" s="194"/>
      <c r="BK14" s="194"/>
      <c r="BL14" s="194"/>
      <c r="BM14" s="194"/>
      <c r="BN14" s="194"/>
      <c r="BO14" s="194"/>
      <c r="BP14" s="194"/>
      <c r="BQ14" s="194"/>
      <c r="BR14" s="194"/>
      <c r="BS14" s="194"/>
      <c r="BT14" s="194"/>
      <c r="BU14" s="194"/>
    </row>
    <row r="15" spans="1:73" x14ac:dyDescent="0.3">
      <c r="A15" s="193" t="s">
        <v>544</v>
      </c>
      <c r="B15" s="194">
        <v>0.75675678253173828</v>
      </c>
      <c r="C15" s="194">
        <v>0.50943893194198608</v>
      </c>
      <c r="D15" s="194">
        <v>0.94800788164138794</v>
      </c>
      <c r="E15" s="194"/>
      <c r="F15" s="194"/>
      <c r="G15" s="194">
        <v>0.80851066112518311</v>
      </c>
      <c r="H15" s="194">
        <v>0.53416061401367188</v>
      </c>
      <c r="I15" s="194">
        <v>0.92328619956970215</v>
      </c>
      <c r="J15" s="194">
        <v>0.80000001192092896</v>
      </c>
      <c r="K15" s="194">
        <v>25</v>
      </c>
      <c r="L15" s="194">
        <v>0.74603176116943359</v>
      </c>
      <c r="M15" s="194">
        <v>0.56067341566085815</v>
      </c>
      <c r="N15" s="194">
        <v>0.89677339792251587</v>
      </c>
      <c r="O15" s="194">
        <v>0.5625</v>
      </c>
      <c r="P15" s="194">
        <v>16</v>
      </c>
      <c r="Q15" s="194">
        <v>0.73076921701431274</v>
      </c>
      <c r="R15" s="194">
        <v>0.54375094175338745</v>
      </c>
      <c r="S15" s="194">
        <v>0.91369587182998657</v>
      </c>
      <c r="T15" s="194">
        <v>0.81818181276321411</v>
      </c>
      <c r="U15" s="194">
        <v>11</v>
      </c>
      <c r="V15" s="194">
        <v>0.73972600698471069</v>
      </c>
      <c r="W15" s="194">
        <v>0.57260745763778687</v>
      </c>
      <c r="X15" s="194">
        <v>0.88483935594558716</v>
      </c>
      <c r="Y15" s="194">
        <v>0.76190477609634399</v>
      </c>
      <c r="Z15" s="194">
        <v>21</v>
      </c>
      <c r="AA15" s="194">
        <v>0.7014925479888916</v>
      </c>
      <c r="AB15" s="194">
        <v>0.56576704978942871</v>
      </c>
      <c r="AC15" s="194">
        <v>0.89167976379394531</v>
      </c>
      <c r="AD15" s="194">
        <v>0.68421053886413574</v>
      </c>
      <c r="AE15" s="194">
        <v>19</v>
      </c>
      <c r="AF15" s="194">
        <v>0.69014084339141846</v>
      </c>
      <c r="AG15" s="194">
        <v>0.57042390108108521</v>
      </c>
      <c r="AH15" s="194">
        <v>0.88702291250228882</v>
      </c>
      <c r="AI15" s="194">
        <v>0.55000001192092896</v>
      </c>
      <c r="AJ15" s="194">
        <v>20</v>
      </c>
      <c r="AK15" s="194">
        <v>0.66666668653488159</v>
      </c>
      <c r="AL15" s="194">
        <v>0.57152700424194336</v>
      </c>
      <c r="AM15" s="194">
        <v>0.88591980934143066</v>
      </c>
      <c r="AN15" s="194">
        <v>0.66666668653488159</v>
      </c>
      <c r="AO15" s="194">
        <v>12</v>
      </c>
      <c r="AP15" s="194">
        <v>0.61904764175415039</v>
      </c>
      <c r="AQ15" s="194">
        <v>0.56067341566085815</v>
      </c>
      <c r="AR15" s="194">
        <v>0.89677339792251587</v>
      </c>
      <c r="AS15" s="194">
        <v>0.58333331346511841</v>
      </c>
      <c r="AT15" s="194">
        <v>12</v>
      </c>
      <c r="AU15" s="194">
        <v>0.625</v>
      </c>
      <c r="AV15" s="194">
        <v>0.5504794716835022</v>
      </c>
      <c r="AW15" s="194">
        <v>0.90696734189987183</v>
      </c>
      <c r="AX15" s="194">
        <v>0.75</v>
      </c>
      <c r="AY15" s="194">
        <v>12</v>
      </c>
      <c r="AZ15" s="194">
        <v>0.75925928354263306</v>
      </c>
      <c r="BA15" s="194">
        <v>0.54720866680145264</v>
      </c>
      <c r="BB15" s="194">
        <v>0.91023814678192139</v>
      </c>
      <c r="BC15" s="194">
        <v>0.94444441795349121</v>
      </c>
      <c r="BD15" s="194">
        <v>18</v>
      </c>
      <c r="BE15" s="194">
        <v>0.72872340679168701</v>
      </c>
      <c r="BF15" s="194"/>
      <c r="BG15" s="194"/>
      <c r="BH15" s="194"/>
      <c r="BI15" s="194"/>
      <c r="BJ15" s="194"/>
      <c r="BK15" s="194"/>
      <c r="BL15" s="194"/>
      <c r="BM15" s="194"/>
      <c r="BN15" s="194"/>
      <c r="BO15" s="194"/>
      <c r="BP15" s="194"/>
      <c r="BQ15" s="194"/>
      <c r="BR15" s="194"/>
      <c r="BS15" s="194"/>
      <c r="BT15" s="194"/>
      <c r="BU15" s="194"/>
    </row>
    <row r="16" spans="1:73" x14ac:dyDescent="0.3">
      <c r="A16" s="193" t="s">
        <v>480</v>
      </c>
      <c r="B16" s="194">
        <v>0.83050847053527832</v>
      </c>
      <c r="C16" s="194">
        <v>0.68652212619781494</v>
      </c>
      <c r="D16" s="194">
        <v>0.97828233242034912</v>
      </c>
      <c r="E16" s="194">
        <v>0.57142859697341919</v>
      </c>
      <c r="F16" s="194">
        <v>14</v>
      </c>
      <c r="G16" s="194">
        <v>0.84905660152435303</v>
      </c>
      <c r="H16" s="194">
        <v>0.67848610877990723</v>
      </c>
      <c r="I16" s="194">
        <v>0.98631834983825684</v>
      </c>
      <c r="J16" s="194">
        <v>0.80000001192092896</v>
      </c>
      <c r="K16" s="194">
        <v>10</v>
      </c>
      <c r="L16" s="194">
        <v>0.78846156597137451</v>
      </c>
      <c r="M16" s="194">
        <v>0.67701321840286255</v>
      </c>
      <c r="N16" s="194">
        <v>0.98779124021530151</v>
      </c>
      <c r="O16" s="194">
        <v>0.72727274894714355</v>
      </c>
      <c r="P16" s="194">
        <v>11</v>
      </c>
      <c r="Q16" s="194">
        <v>0.72340422868728638</v>
      </c>
      <c r="R16" s="194">
        <v>0.6689566969871521</v>
      </c>
      <c r="S16" s="194">
        <v>0.99584776163101196</v>
      </c>
      <c r="T16" s="194">
        <v>0.83333331346511841</v>
      </c>
      <c r="U16" s="194">
        <v>12</v>
      </c>
      <c r="V16" s="194">
        <v>0.83333331346511841</v>
      </c>
      <c r="W16" s="194">
        <v>0.67991793155670166</v>
      </c>
      <c r="X16" s="194">
        <v>0.9848865270614624</v>
      </c>
      <c r="Y16" s="194">
        <v>0.9047619104385376</v>
      </c>
      <c r="Z16" s="194">
        <v>21</v>
      </c>
      <c r="AA16" s="194">
        <v>0.86206895112991333</v>
      </c>
      <c r="AB16" s="194">
        <v>0.68526995182037354</v>
      </c>
      <c r="AC16" s="194">
        <v>0.97953450679779053</v>
      </c>
      <c r="AD16" s="194">
        <v>0.92857140302658081</v>
      </c>
      <c r="AE16" s="194">
        <v>14</v>
      </c>
      <c r="AF16" s="194">
        <v>0.88135594129562378</v>
      </c>
      <c r="AG16" s="194">
        <v>0.68652212619781494</v>
      </c>
      <c r="AH16" s="194">
        <v>0.97828233242034912</v>
      </c>
      <c r="AI16" s="194">
        <v>0.83333331346511841</v>
      </c>
      <c r="AJ16" s="194">
        <v>12</v>
      </c>
      <c r="AK16" s="194">
        <v>0.85245901346206665</v>
      </c>
      <c r="AL16" s="194">
        <v>0.68893355131149292</v>
      </c>
      <c r="AM16" s="194">
        <v>0.97587090730667114</v>
      </c>
      <c r="AN16" s="194">
        <v>0.71428573131561279</v>
      </c>
      <c r="AO16" s="194">
        <v>14</v>
      </c>
      <c r="AP16" s="194">
        <v>0.84482759237289429</v>
      </c>
      <c r="AQ16" s="194">
        <v>0.68526995182037354</v>
      </c>
      <c r="AR16" s="194">
        <v>0.97953450679779053</v>
      </c>
      <c r="AS16" s="194">
        <v>0.8888888955116272</v>
      </c>
      <c r="AT16" s="194">
        <v>18</v>
      </c>
      <c r="AU16" s="194">
        <v>0.80303031206130981</v>
      </c>
      <c r="AV16" s="194">
        <v>0.69447499513626099</v>
      </c>
      <c r="AW16" s="194">
        <v>0.97032946348190308</v>
      </c>
      <c r="AX16" s="194">
        <v>0.77272725105285645</v>
      </c>
      <c r="AY16" s="194">
        <v>22</v>
      </c>
      <c r="AZ16" s="194">
        <v>0.82352942228317261</v>
      </c>
      <c r="BA16" s="194">
        <v>0.69651848077774048</v>
      </c>
      <c r="BB16" s="194">
        <v>0.96828597784042358</v>
      </c>
      <c r="BC16" s="194">
        <v>0.92857140302658081</v>
      </c>
      <c r="BD16" s="194">
        <v>14</v>
      </c>
      <c r="BE16" s="194">
        <v>0.83240222930908203</v>
      </c>
      <c r="BF16" s="194"/>
      <c r="BG16" s="194"/>
      <c r="BH16" s="194"/>
      <c r="BI16" s="194"/>
      <c r="BJ16" s="194"/>
      <c r="BK16" s="194"/>
      <c r="BL16" s="194"/>
      <c r="BM16" s="194"/>
      <c r="BN16" s="194"/>
      <c r="BO16" s="194"/>
      <c r="BP16" s="194"/>
      <c r="BQ16" s="194"/>
      <c r="BR16" s="194"/>
      <c r="BS16" s="194"/>
      <c r="BT16" s="194"/>
      <c r="BU16" s="194"/>
    </row>
    <row r="17" spans="1:73" x14ac:dyDescent="0.3">
      <c r="A17" s="193" t="s">
        <v>408</v>
      </c>
      <c r="B17" s="194"/>
      <c r="C17" s="194"/>
      <c r="D17" s="194"/>
      <c r="E17" s="194"/>
      <c r="F17" s="194"/>
      <c r="G17" s="194"/>
      <c r="H17" s="194"/>
      <c r="I17" s="194"/>
      <c r="J17" s="194"/>
      <c r="K17" s="194"/>
      <c r="L17" s="194"/>
      <c r="M17" s="194"/>
      <c r="N17" s="194"/>
      <c r="O17" s="194">
        <v>1</v>
      </c>
      <c r="P17" s="194">
        <v>12</v>
      </c>
      <c r="Q17" s="194"/>
      <c r="R17" s="194"/>
      <c r="S17" s="194"/>
      <c r="T17" s="194"/>
      <c r="U17" s="194"/>
      <c r="V17" s="194"/>
      <c r="W17" s="194"/>
      <c r="X17" s="194"/>
      <c r="Y17" s="194">
        <v>0.86666667461395264</v>
      </c>
      <c r="Z17" s="194">
        <v>15</v>
      </c>
      <c r="AA17" s="194"/>
      <c r="AB17" s="194"/>
      <c r="AC17" s="194"/>
      <c r="AD17" s="194"/>
      <c r="AE17" s="194"/>
      <c r="AF17" s="194"/>
      <c r="AG17" s="194"/>
      <c r="AH17" s="194"/>
      <c r="AI17" s="194">
        <v>0.80000001192092896</v>
      </c>
      <c r="AJ17" s="194">
        <v>10</v>
      </c>
      <c r="AK17" s="194"/>
      <c r="AL17" s="194"/>
      <c r="AM17" s="194"/>
      <c r="AN17" s="194"/>
      <c r="AO17" s="194"/>
      <c r="AP17" s="194"/>
      <c r="AQ17" s="194"/>
      <c r="AR17" s="194"/>
      <c r="AS17" s="194">
        <v>0.86666667461395264</v>
      </c>
      <c r="AT17" s="194">
        <v>15</v>
      </c>
      <c r="AU17" s="194"/>
      <c r="AV17" s="194"/>
      <c r="AW17" s="194"/>
      <c r="AX17" s="194"/>
      <c r="AY17" s="194"/>
      <c r="AZ17" s="194"/>
      <c r="BA17" s="194"/>
      <c r="BB17" s="194"/>
      <c r="BC17" s="194">
        <v>0.91666668653488159</v>
      </c>
      <c r="BD17" s="194">
        <v>12</v>
      </c>
      <c r="BE17" s="194"/>
      <c r="BF17" s="194"/>
      <c r="BG17" s="194"/>
      <c r="BH17" s="194"/>
      <c r="BI17" s="194"/>
      <c r="BJ17" s="194"/>
      <c r="BK17" s="194"/>
      <c r="BL17" s="194"/>
      <c r="BM17" s="194"/>
      <c r="BN17" s="194"/>
      <c r="BO17" s="194"/>
      <c r="BP17" s="194"/>
      <c r="BQ17" s="194"/>
      <c r="BR17" s="194"/>
      <c r="BS17" s="194"/>
      <c r="BT17" s="194"/>
      <c r="BU17" s="194"/>
    </row>
    <row r="18" spans="1:73" x14ac:dyDescent="0.3">
      <c r="A18" s="193" t="s">
        <v>284</v>
      </c>
      <c r="B18" s="194">
        <v>0.71111112833023071</v>
      </c>
      <c r="C18" s="194">
        <v>0.54986119270324707</v>
      </c>
      <c r="D18" s="194">
        <v>0.93979394435882568</v>
      </c>
      <c r="E18" s="194">
        <v>0.61538463830947876</v>
      </c>
      <c r="F18" s="194">
        <v>13</v>
      </c>
      <c r="G18" s="194">
        <v>0.70588237047195435</v>
      </c>
      <c r="H18" s="194">
        <v>0.52052897214889526</v>
      </c>
      <c r="I18" s="194">
        <v>0.96912616491317749</v>
      </c>
      <c r="J18" s="194"/>
      <c r="K18" s="194"/>
      <c r="L18" s="194">
        <v>0.74468082189559937</v>
      </c>
      <c r="M18" s="194">
        <v>0.55405449867248535</v>
      </c>
      <c r="N18" s="194">
        <v>0.9356006383895874</v>
      </c>
      <c r="O18" s="194">
        <v>0.8461538553237915</v>
      </c>
      <c r="P18" s="194">
        <v>13</v>
      </c>
      <c r="Q18" s="194">
        <v>0.66666668653488159</v>
      </c>
      <c r="R18" s="194">
        <v>0.53540009260177612</v>
      </c>
      <c r="S18" s="194">
        <v>0.95425504446029663</v>
      </c>
      <c r="T18" s="194">
        <v>0.53846156597137451</v>
      </c>
      <c r="U18" s="194">
        <v>13</v>
      </c>
      <c r="V18" s="194">
        <v>0.72972971200942993</v>
      </c>
      <c r="W18" s="194">
        <v>0.52981436252593994</v>
      </c>
      <c r="X18" s="194">
        <v>0.95984077453613281</v>
      </c>
      <c r="Y18" s="194">
        <v>0.81818181276321411</v>
      </c>
      <c r="Z18" s="194">
        <v>11</v>
      </c>
      <c r="AA18" s="194">
        <v>0.72972971200942993</v>
      </c>
      <c r="AB18" s="194">
        <v>0.52981436252593994</v>
      </c>
      <c r="AC18" s="194">
        <v>0.95984077453613281</v>
      </c>
      <c r="AD18" s="194"/>
      <c r="AE18" s="194"/>
      <c r="AF18" s="194">
        <v>0.6808510422706604</v>
      </c>
      <c r="AG18" s="194">
        <v>0.55405449867248535</v>
      </c>
      <c r="AH18" s="194">
        <v>0.9356006383895874</v>
      </c>
      <c r="AI18" s="194">
        <v>0.69565218687057495</v>
      </c>
      <c r="AJ18" s="194">
        <v>23</v>
      </c>
      <c r="AK18" s="194">
        <v>0.79545456171035767</v>
      </c>
      <c r="AL18" s="194">
        <v>0.54765808582305908</v>
      </c>
      <c r="AM18" s="194">
        <v>0.94199705123901367</v>
      </c>
      <c r="AN18" s="194">
        <v>1</v>
      </c>
      <c r="AO18" s="194">
        <v>10</v>
      </c>
      <c r="AP18" s="194">
        <v>0.79545456171035767</v>
      </c>
      <c r="AQ18" s="194">
        <v>0.54765808582305908</v>
      </c>
      <c r="AR18" s="194">
        <v>0.94199705123901367</v>
      </c>
      <c r="AS18" s="194">
        <v>0.81818181276321411</v>
      </c>
      <c r="AT18" s="194">
        <v>11</v>
      </c>
      <c r="AU18" s="194">
        <v>0.77966099977493286</v>
      </c>
      <c r="AV18" s="194">
        <v>0.57455682754516602</v>
      </c>
      <c r="AW18" s="194">
        <v>0.91509830951690674</v>
      </c>
      <c r="AX18" s="194">
        <v>0.73333334922790527</v>
      </c>
      <c r="AY18" s="194">
        <v>15</v>
      </c>
      <c r="AZ18" s="194">
        <v>0.80392158031463623</v>
      </c>
      <c r="BA18" s="194">
        <v>0.56168854236602783</v>
      </c>
      <c r="BB18" s="194">
        <v>0.92796659469604492</v>
      </c>
      <c r="BC18" s="194">
        <v>0.73333334922790527</v>
      </c>
      <c r="BD18" s="194">
        <v>15</v>
      </c>
      <c r="BE18" s="194">
        <v>0.74482756853103638</v>
      </c>
      <c r="BF18" s="194"/>
      <c r="BG18" s="194"/>
      <c r="BH18" s="194"/>
      <c r="BI18" s="194"/>
      <c r="BJ18" s="194"/>
      <c r="BK18" s="194"/>
      <c r="BL18" s="194"/>
      <c r="BM18" s="194"/>
      <c r="BN18" s="194"/>
      <c r="BO18" s="194"/>
      <c r="BP18" s="194"/>
      <c r="BQ18" s="194"/>
      <c r="BR18" s="194"/>
      <c r="BS18" s="194"/>
      <c r="BT18" s="194"/>
      <c r="BU18" s="194"/>
    </row>
    <row r="19" spans="1:73" x14ac:dyDescent="0.3">
      <c r="A19" s="193" t="s">
        <v>554</v>
      </c>
      <c r="B19" s="194">
        <v>0.69767439365386963</v>
      </c>
      <c r="C19" s="194">
        <v>0.49308007955551147</v>
      </c>
      <c r="D19" s="194">
        <v>0.80215805768966675</v>
      </c>
      <c r="E19" s="194">
        <v>0.86666667461395264</v>
      </c>
      <c r="F19" s="194">
        <v>15</v>
      </c>
      <c r="G19" s="194">
        <v>0.69791668653488159</v>
      </c>
      <c r="H19" s="194">
        <v>0.5013502836227417</v>
      </c>
      <c r="I19" s="194">
        <v>0.79388785362243652</v>
      </c>
      <c r="J19" s="194">
        <v>0.72727274894714355</v>
      </c>
      <c r="K19" s="194">
        <v>22</v>
      </c>
      <c r="L19" s="194">
        <v>0.73033708333969116</v>
      </c>
      <c r="M19" s="194">
        <v>0.49570700526237488</v>
      </c>
      <c r="N19" s="194">
        <v>0.79953116178512573</v>
      </c>
      <c r="O19" s="194">
        <v>0.57142859697341919</v>
      </c>
      <c r="P19" s="194">
        <v>21</v>
      </c>
      <c r="Q19" s="194">
        <v>0.72500002384185791</v>
      </c>
      <c r="R19" s="194">
        <v>0.48738965392112732</v>
      </c>
      <c r="S19" s="194">
        <v>0.80784851312637329</v>
      </c>
      <c r="T19" s="194">
        <v>0.77272725105285645</v>
      </c>
      <c r="U19" s="194">
        <v>22</v>
      </c>
      <c r="V19" s="194">
        <v>0.63636362552642822</v>
      </c>
      <c r="W19" s="194">
        <v>0.48429811000823975</v>
      </c>
      <c r="X19" s="194">
        <v>0.81094002723693848</v>
      </c>
      <c r="Y19" s="194">
        <v>0.3333333432674408</v>
      </c>
      <c r="Z19" s="194">
        <v>12</v>
      </c>
      <c r="AA19" s="194">
        <v>0.63855421543121338</v>
      </c>
      <c r="AB19" s="194">
        <v>0.49031201004981995</v>
      </c>
      <c r="AC19" s="194">
        <v>0.80492615699768066</v>
      </c>
      <c r="AD19" s="194">
        <v>0.71428573131561279</v>
      </c>
      <c r="AE19" s="194">
        <v>28</v>
      </c>
      <c r="AF19" s="194">
        <v>0.61702126264572144</v>
      </c>
      <c r="AG19" s="194">
        <v>0.49980241060256958</v>
      </c>
      <c r="AH19" s="194">
        <v>0.79543572664260864</v>
      </c>
      <c r="AI19" s="194">
        <v>0.53125</v>
      </c>
      <c r="AJ19" s="194">
        <v>32</v>
      </c>
      <c r="AK19" s="194">
        <v>0.61000001430511475</v>
      </c>
      <c r="AL19" s="194">
        <v>0.50430554151535034</v>
      </c>
      <c r="AM19" s="194">
        <v>0.79093259572982788</v>
      </c>
      <c r="AN19" s="194">
        <v>0.71428573131561279</v>
      </c>
      <c r="AO19" s="194">
        <v>28</v>
      </c>
      <c r="AP19" s="194">
        <v>0.58196723461151123</v>
      </c>
      <c r="AQ19" s="194">
        <v>0.51786905527114868</v>
      </c>
      <c r="AR19" s="194">
        <v>0.77736908197402954</v>
      </c>
      <c r="AS19" s="194">
        <v>0.4117647111415863</v>
      </c>
      <c r="AT19" s="194">
        <v>34</v>
      </c>
      <c r="AU19" s="194">
        <v>0.57480317354202271</v>
      </c>
      <c r="AV19" s="194">
        <v>0.52044886350631714</v>
      </c>
      <c r="AW19" s="194">
        <v>0.77478927373886108</v>
      </c>
      <c r="AX19" s="194">
        <v>0.66666668653488159</v>
      </c>
      <c r="AY19" s="194">
        <v>33</v>
      </c>
      <c r="AZ19" s="194">
        <v>0.61363637447357178</v>
      </c>
      <c r="BA19" s="194">
        <v>0.52288061380386353</v>
      </c>
      <c r="BB19" s="194">
        <v>0.7723575234413147</v>
      </c>
      <c r="BC19" s="194">
        <v>0.67567569017410278</v>
      </c>
      <c r="BD19" s="194">
        <v>37</v>
      </c>
      <c r="BE19" s="194">
        <v>0.64761906862258911</v>
      </c>
      <c r="BF19" s="194"/>
      <c r="BG19" s="194"/>
      <c r="BH19" s="194"/>
      <c r="BI19" s="194"/>
      <c r="BJ19" s="194"/>
      <c r="BK19" s="194"/>
      <c r="BL19" s="194"/>
      <c r="BM19" s="194"/>
      <c r="BN19" s="194"/>
      <c r="BO19" s="194"/>
      <c r="BP19" s="194"/>
      <c r="BQ19" s="194"/>
      <c r="BR19" s="194"/>
      <c r="BS19" s="194"/>
      <c r="BT19" s="194"/>
      <c r="BU19" s="194"/>
    </row>
    <row r="20" spans="1:73" x14ac:dyDescent="0.3">
      <c r="A20" s="193" t="s">
        <v>262</v>
      </c>
      <c r="B20" s="194"/>
      <c r="C20" s="194"/>
      <c r="D20" s="194"/>
      <c r="E20" s="194">
        <v>0.86666667461395264</v>
      </c>
      <c r="F20" s="194">
        <v>15</v>
      </c>
      <c r="G20" s="194"/>
      <c r="H20" s="194"/>
      <c r="I20" s="194"/>
      <c r="J20" s="194">
        <v>1</v>
      </c>
      <c r="K20" s="194">
        <v>10</v>
      </c>
      <c r="L20" s="194"/>
      <c r="M20" s="194"/>
      <c r="N20" s="194"/>
      <c r="O20" s="194"/>
      <c r="P20" s="194"/>
      <c r="Q20" s="194"/>
      <c r="R20" s="194"/>
      <c r="S20" s="194"/>
      <c r="T20" s="194"/>
      <c r="U20" s="194"/>
      <c r="V20" s="194"/>
      <c r="W20" s="194"/>
      <c r="X20" s="194"/>
      <c r="Y20" s="194"/>
      <c r="Z20" s="194"/>
      <c r="AA20" s="194"/>
      <c r="AB20" s="194"/>
      <c r="AC20" s="194"/>
      <c r="AD20" s="194">
        <v>0.93333333730697632</v>
      </c>
      <c r="AE20" s="194">
        <v>15</v>
      </c>
      <c r="AF20" s="194"/>
      <c r="AG20" s="194"/>
      <c r="AH20" s="194"/>
      <c r="AI20" s="194"/>
      <c r="AJ20" s="194"/>
      <c r="AK20" s="194"/>
      <c r="AL20" s="194"/>
      <c r="AM20" s="194"/>
      <c r="AN20" s="194">
        <v>0.8571428656578064</v>
      </c>
      <c r="AO20" s="194">
        <v>14</v>
      </c>
      <c r="AP20" s="194"/>
      <c r="AQ20" s="194"/>
      <c r="AR20" s="194"/>
      <c r="AS20" s="194">
        <v>1</v>
      </c>
      <c r="AT20" s="194">
        <v>11</v>
      </c>
      <c r="AU20" s="194"/>
      <c r="AV20" s="194"/>
      <c r="AW20" s="194"/>
      <c r="AX20" s="194"/>
      <c r="AY20" s="194"/>
      <c r="AZ20" s="194"/>
      <c r="BA20" s="194"/>
      <c r="BB20" s="194"/>
      <c r="BC20" s="194">
        <v>0.85000002384185791</v>
      </c>
      <c r="BD20" s="194">
        <v>20</v>
      </c>
      <c r="BE20" s="194"/>
      <c r="BF20" s="194"/>
      <c r="BG20" s="194"/>
      <c r="BH20" s="194"/>
      <c r="BI20" s="194"/>
      <c r="BJ20" s="194"/>
      <c r="BK20" s="194"/>
      <c r="BL20" s="194"/>
      <c r="BM20" s="194"/>
      <c r="BN20" s="194"/>
      <c r="BO20" s="194"/>
      <c r="BP20" s="194"/>
      <c r="BQ20" s="194"/>
      <c r="BR20" s="194"/>
      <c r="BS20" s="194"/>
      <c r="BT20" s="194"/>
      <c r="BU20" s="194"/>
    </row>
    <row r="21" spans="1:73" x14ac:dyDescent="0.3">
      <c r="A21" s="193" t="s">
        <v>454</v>
      </c>
      <c r="B21" s="194"/>
      <c r="C21" s="194"/>
      <c r="D21" s="194"/>
      <c r="E21" s="194"/>
      <c r="F21" s="194"/>
      <c r="G21" s="194"/>
      <c r="H21" s="194"/>
      <c r="I21" s="194"/>
      <c r="J21" s="194">
        <v>0.66666668653488159</v>
      </c>
      <c r="K21" s="194">
        <v>27</v>
      </c>
      <c r="L21" s="194"/>
      <c r="M21" s="194"/>
      <c r="N21" s="194"/>
      <c r="O21" s="194">
        <v>0.81818181276321411</v>
      </c>
      <c r="P21" s="194">
        <v>11</v>
      </c>
      <c r="Q21" s="194"/>
      <c r="R21" s="194"/>
      <c r="S21" s="194"/>
      <c r="T21" s="194">
        <v>0.90909093618392944</v>
      </c>
      <c r="U21" s="194">
        <v>11</v>
      </c>
      <c r="V21" s="194"/>
      <c r="W21" s="194"/>
      <c r="X21" s="194"/>
      <c r="Y21" s="194"/>
      <c r="Z21" s="194"/>
      <c r="AA21" s="194"/>
      <c r="AB21" s="194"/>
      <c r="AC21" s="194"/>
      <c r="AD21" s="194">
        <v>0.875</v>
      </c>
      <c r="AE21" s="194">
        <v>24</v>
      </c>
      <c r="AF21" s="194"/>
      <c r="AG21" s="194"/>
      <c r="AH21" s="194"/>
      <c r="AI21" s="194"/>
      <c r="AJ21" s="194"/>
      <c r="AK21" s="194"/>
      <c r="AL21" s="194"/>
      <c r="AM21" s="194"/>
      <c r="AN21" s="194">
        <v>0.69230771064758301</v>
      </c>
      <c r="AO21" s="194">
        <v>26</v>
      </c>
      <c r="AP21" s="194"/>
      <c r="AQ21" s="194"/>
      <c r="AR21" s="194"/>
      <c r="AS21" s="194"/>
      <c r="AT21" s="194"/>
      <c r="AU21" s="194"/>
      <c r="AV21" s="194"/>
      <c r="AW21" s="194"/>
      <c r="AX21" s="194">
        <v>0.77272725105285645</v>
      </c>
      <c r="AY21" s="194">
        <v>22</v>
      </c>
      <c r="AZ21" s="194"/>
      <c r="BA21" s="194"/>
      <c r="BB21" s="194"/>
      <c r="BC21" s="194">
        <v>0.77777779102325439</v>
      </c>
      <c r="BD21" s="194">
        <v>18</v>
      </c>
      <c r="BE21" s="194"/>
      <c r="BF21" s="194"/>
      <c r="BG21" s="194"/>
      <c r="BH21" s="194"/>
      <c r="BI21" s="194"/>
      <c r="BJ21" s="194"/>
      <c r="BK21" s="194"/>
      <c r="BL21" s="194"/>
      <c r="BM21" s="194"/>
      <c r="BN21" s="194"/>
      <c r="BO21" s="194"/>
      <c r="BP21" s="194"/>
      <c r="BQ21" s="194"/>
      <c r="BR21" s="194"/>
      <c r="BS21" s="194"/>
      <c r="BT21" s="194"/>
      <c r="BU21" s="194"/>
    </row>
    <row r="22" spans="1:73" x14ac:dyDescent="0.3">
      <c r="A22" s="193" t="s">
        <v>346</v>
      </c>
      <c r="B22" s="194">
        <v>0.71276593208312988</v>
      </c>
      <c r="C22" s="194">
        <v>0.55698299407958984</v>
      </c>
      <c r="D22" s="194">
        <v>0.84086644649505615</v>
      </c>
      <c r="E22" s="194">
        <v>0.82142859697341919</v>
      </c>
      <c r="F22" s="194">
        <v>28</v>
      </c>
      <c r="G22" s="194">
        <v>0.67567569017410278</v>
      </c>
      <c r="H22" s="194">
        <v>0.56830388307571411</v>
      </c>
      <c r="I22" s="194">
        <v>0.82954555749893188</v>
      </c>
      <c r="J22" s="194">
        <v>0.63333332538604736</v>
      </c>
      <c r="K22" s="194">
        <v>30</v>
      </c>
      <c r="L22" s="194">
        <v>0.7053571343421936</v>
      </c>
      <c r="M22" s="194">
        <v>0.56888830661773682</v>
      </c>
      <c r="N22" s="194">
        <v>0.82896113395690918</v>
      </c>
      <c r="O22" s="194">
        <v>0.875</v>
      </c>
      <c r="P22" s="194">
        <v>24</v>
      </c>
      <c r="Q22" s="194">
        <v>0.74528300762176514</v>
      </c>
      <c r="R22" s="194">
        <v>0.5652586817741394</v>
      </c>
      <c r="S22" s="194">
        <v>0.83259075880050659</v>
      </c>
      <c r="T22" s="194">
        <v>0.66666668653488159</v>
      </c>
      <c r="U22" s="194">
        <v>24</v>
      </c>
      <c r="V22" s="194">
        <v>0.73636364936828613</v>
      </c>
      <c r="W22" s="194">
        <v>0.5677114725112915</v>
      </c>
      <c r="X22" s="194">
        <v>0.83013796806335449</v>
      </c>
      <c r="Y22" s="194">
        <v>0.78125</v>
      </c>
      <c r="Z22" s="194">
        <v>32</v>
      </c>
      <c r="AA22" s="194">
        <v>0.79646015167236328</v>
      </c>
      <c r="AB22" s="194">
        <v>0.56946498155593872</v>
      </c>
      <c r="AC22" s="194">
        <v>0.82838445901870728</v>
      </c>
      <c r="AD22" s="194">
        <v>0.84848487377166748</v>
      </c>
      <c r="AE22" s="194">
        <v>33</v>
      </c>
      <c r="AF22" s="194">
        <v>0.76315790414810181</v>
      </c>
      <c r="AG22" s="194">
        <v>0.57003402709960938</v>
      </c>
      <c r="AH22" s="194">
        <v>0.82781541347503662</v>
      </c>
      <c r="AI22" s="194">
        <v>0.72000002861022949</v>
      </c>
      <c r="AJ22" s="194">
        <v>25</v>
      </c>
      <c r="AK22" s="194">
        <v>0.74789917469024658</v>
      </c>
      <c r="AL22" s="194">
        <v>0.57277089357376099</v>
      </c>
      <c r="AM22" s="194">
        <v>0.82507854700088501</v>
      </c>
      <c r="AN22" s="194">
        <v>0.62068963050842285</v>
      </c>
      <c r="AO22" s="194">
        <v>29</v>
      </c>
      <c r="AP22" s="194">
        <v>0.703125</v>
      </c>
      <c r="AQ22" s="194">
        <v>0.57728677988052368</v>
      </c>
      <c r="AR22" s="194">
        <v>0.82056266069412231</v>
      </c>
      <c r="AS22" s="194">
        <v>0.63414633274078369</v>
      </c>
      <c r="AT22" s="194">
        <v>41</v>
      </c>
      <c r="AU22" s="194">
        <v>0.66412216424942017</v>
      </c>
      <c r="AV22" s="194">
        <v>0.57868766784667969</v>
      </c>
      <c r="AW22" s="194">
        <v>0.81916177272796631</v>
      </c>
      <c r="AX22" s="194">
        <v>0.69444441795349121</v>
      </c>
      <c r="AY22" s="194">
        <v>36</v>
      </c>
      <c r="AZ22" s="194">
        <v>0.64383560419082642</v>
      </c>
      <c r="BA22" s="194">
        <v>0.58503156900405884</v>
      </c>
      <c r="BB22" s="194">
        <v>0.81281787157058716</v>
      </c>
      <c r="BC22" s="194">
        <v>0.625</v>
      </c>
      <c r="BD22" s="194">
        <v>40</v>
      </c>
      <c r="BE22" s="194">
        <v>0.698924720287323</v>
      </c>
      <c r="BF22" s="194"/>
      <c r="BG22" s="194"/>
      <c r="BH22" s="194"/>
      <c r="BI22" s="194"/>
      <c r="BJ22" s="194"/>
      <c r="BK22" s="194"/>
      <c r="BL22" s="194"/>
      <c r="BM22" s="194"/>
      <c r="BN22" s="194"/>
      <c r="BO22" s="194"/>
      <c r="BP22" s="194"/>
      <c r="BQ22" s="194"/>
      <c r="BR22" s="194"/>
      <c r="BS22" s="194"/>
      <c r="BT22" s="194"/>
      <c r="BU22" s="194"/>
    </row>
    <row r="23" spans="1:73" x14ac:dyDescent="0.3">
      <c r="A23" s="193" t="s">
        <v>352</v>
      </c>
      <c r="B23" s="194">
        <v>0.93382352590560913</v>
      </c>
      <c r="C23" s="194">
        <v>0.78156596422195435</v>
      </c>
      <c r="D23" s="194">
        <v>0.95543712377548218</v>
      </c>
      <c r="E23" s="194">
        <v>0.92857140302658081</v>
      </c>
      <c r="F23" s="194">
        <v>42</v>
      </c>
      <c r="G23" s="194">
        <v>0.92857140302658081</v>
      </c>
      <c r="H23" s="194">
        <v>0.78281694650650024</v>
      </c>
      <c r="I23" s="194">
        <v>0.95418614149093628</v>
      </c>
      <c r="J23" s="194">
        <v>0.88636362552642822</v>
      </c>
      <c r="K23" s="194">
        <v>44</v>
      </c>
      <c r="L23" s="194">
        <v>0.90977442264556885</v>
      </c>
      <c r="M23" s="194">
        <v>0.78059101104736328</v>
      </c>
      <c r="N23" s="194">
        <v>0.95641207695007324</v>
      </c>
      <c r="O23" s="194">
        <v>0.8888888955116272</v>
      </c>
      <c r="P23" s="194">
        <v>27</v>
      </c>
      <c r="Q23" s="194">
        <v>0.90909093618392944</v>
      </c>
      <c r="R23" s="194">
        <v>0.78372049331665039</v>
      </c>
      <c r="S23" s="194">
        <v>0.95328259468078613</v>
      </c>
      <c r="T23" s="194">
        <v>0.93333333730697632</v>
      </c>
      <c r="U23" s="194">
        <v>30</v>
      </c>
      <c r="V23" s="194">
        <v>0.8880000114440918</v>
      </c>
      <c r="W23" s="194">
        <v>0.77782148122787476</v>
      </c>
      <c r="X23" s="194">
        <v>0.95918160676956177</v>
      </c>
      <c r="Y23" s="194">
        <v>0.83333331346511841</v>
      </c>
      <c r="Z23" s="194">
        <v>24</v>
      </c>
      <c r="AA23" s="194">
        <v>0.87234044075012207</v>
      </c>
      <c r="AB23" s="194">
        <v>0.76393252611160278</v>
      </c>
      <c r="AC23" s="194">
        <v>0.97307056188583374</v>
      </c>
      <c r="AD23" s="194">
        <v>0.76923078298568726</v>
      </c>
      <c r="AE23" s="194">
        <v>13</v>
      </c>
      <c r="AF23" s="194">
        <v>0.8571428656578064</v>
      </c>
      <c r="AG23" s="194">
        <v>0.75788319110870361</v>
      </c>
      <c r="AH23" s="194">
        <v>0.97911989688873291</v>
      </c>
      <c r="AI23" s="194">
        <v>0.82352942228317261</v>
      </c>
      <c r="AJ23" s="194">
        <v>17</v>
      </c>
      <c r="AK23" s="194">
        <v>0.80821919441223145</v>
      </c>
      <c r="AL23" s="194">
        <v>0.74984121322631836</v>
      </c>
      <c r="AM23" s="194">
        <v>0.98716187477111816</v>
      </c>
      <c r="AN23" s="194">
        <v>0.78947371244430542</v>
      </c>
      <c r="AO23" s="194">
        <v>19</v>
      </c>
      <c r="AP23" s="194">
        <v>0.85135138034820557</v>
      </c>
      <c r="AQ23" s="194">
        <v>0.75064575672149658</v>
      </c>
      <c r="AR23" s="194">
        <v>0.98635733127593994</v>
      </c>
      <c r="AS23" s="194">
        <v>0.95999997854232788</v>
      </c>
      <c r="AT23" s="194">
        <v>25</v>
      </c>
      <c r="AU23" s="194">
        <v>0.81818181276321411</v>
      </c>
      <c r="AV23" s="194">
        <v>0.76660740375518799</v>
      </c>
      <c r="AW23" s="194">
        <v>0.97039568424224854</v>
      </c>
      <c r="AX23" s="194">
        <v>0.73684209585189819</v>
      </c>
      <c r="AY23" s="194">
        <v>38</v>
      </c>
      <c r="AZ23" s="194">
        <v>0.82727271318435669</v>
      </c>
      <c r="BA23" s="194">
        <v>0.77183628082275391</v>
      </c>
      <c r="BB23" s="194">
        <v>0.96516680717468262</v>
      </c>
      <c r="BC23" s="194">
        <v>0.8571428656578064</v>
      </c>
      <c r="BD23" s="194">
        <v>28</v>
      </c>
      <c r="BE23" s="194">
        <v>0.86850154399871826</v>
      </c>
      <c r="BF23" s="194"/>
      <c r="BG23" s="194"/>
      <c r="BH23" s="194"/>
      <c r="BI23" s="194"/>
      <c r="BJ23" s="194"/>
      <c r="BK23" s="194"/>
      <c r="BL23" s="194"/>
      <c r="BM23" s="194"/>
      <c r="BN23" s="194"/>
      <c r="BO23" s="194"/>
      <c r="BP23" s="194"/>
      <c r="BQ23" s="194"/>
      <c r="BR23" s="194"/>
      <c r="BS23" s="194"/>
      <c r="BT23" s="194"/>
      <c r="BU23" s="194"/>
    </row>
    <row r="24" spans="1:73" x14ac:dyDescent="0.3">
      <c r="A24" s="193" t="s">
        <v>446</v>
      </c>
      <c r="B24" s="194">
        <v>0.77049177885055542</v>
      </c>
      <c r="C24" s="194">
        <v>0.53463488817214966</v>
      </c>
      <c r="D24" s="194">
        <v>0.88354688882827759</v>
      </c>
      <c r="E24" s="194">
        <v>0.77777779102325439</v>
      </c>
      <c r="F24" s="194">
        <v>18</v>
      </c>
      <c r="G24" s="194">
        <v>0.7678571343421936</v>
      </c>
      <c r="H24" s="194">
        <v>0.52701312303543091</v>
      </c>
      <c r="I24" s="194">
        <v>0.89116865396499634</v>
      </c>
      <c r="J24" s="194">
        <v>0.76470589637756348</v>
      </c>
      <c r="K24" s="194">
        <v>17</v>
      </c>
      <c r="L24" s="194">
        <v>0.76119405031204224</v>
      </c>
      <c r="M24" s="194">
        <v>0.54262953996658325</v>
      </c>
      <c r="N24" s="194">
        <v>0.87555223703384399</v>
      </c>
      <c r="O24" s="194">
        <v>0.72727274894714355</v>
      </c>
      <c r="P24" s="194">
        <v>11</v>
      </c>
      <c r="Q24" s="194">
        <v>0.79661017656326294</v>
      </c>
      <c r="R24" s="194">
        <v>0.53170263767242432</v>
      </c>
      <c r="S24" s="194">
        <v>0.88647913932800293</v>
      </c>
      <c r="T24" s="194">
        <v>0.92307692766189575</v>
      </c>
      <c r="U24" s="194">
        <v>13</v>
      </c>
      <c r="V24" s="194">
        <v>0.74137932062149048</v>
      </c>
      <c r="W24" s="194">
        <v>0.53017997741699219</v>
      </c>
      <c r="X24" s="194">
        <v>0.88800179958343506</v>
      </c>
      <c r="Y24" s="194">
        <v>0.58823531866073608</v>
      </c>
      <c r="Z24" s="194">
        <v>17</v>
      </c>
      <c r="AA24" s="194">
        <v>0.7049180269241333</v>
      </c>
      <c r="AB24" s="194">
        <v>0.53463488817214966</v>
      </c>
      <c r="AC24" s="194">
        <v>0.88354688882827759</v>
      </c>
      <c r="AD24" s="194">
        <v>0.64999997615814209</v>
      </c>
      <c r="AE24" s="194">
        <v>20</v>
      </c>
      <c r="AF24" s="194">
        <v>0.69863015413284302</v>
      </c>
      <c r="AG24" s="194">
        <v>0.54961705207824707</v>
      </c>
      <c r="AH24" s="194">
        <v>0.86856472492218018</v>
      </c>
      <c r="AI24" s="194">
        <v>0.69565218687057495</v>
      </c>
      <c r="AJ24" s="194">
        <v>23</v>
      </c>
      <c r="AK24" s="194">
        <v>0.5952380895614624</v>
      </c>
      <c r="AL24" s="194">
        <v>0.5604250431060791</v>
      </c>
      <c r="AM24" s="194">
        <v>0.85775673389434814</v>
      </c>
      <c r="AN24" s="194">
        <v>0.4583333432674408</v>
      </c>
      <c r="AO24" s="194">
        <v>24</v>
      </c>
      <c r="AP24" s="194">
        <v>0.64634144306182861</v>
      </c>
      <c r="AQ24" s="194">
        <v>0.55862295627593994</v>
      </c>
      <c r="AR24" s="194">
        <v>0.8595588207244873</v>
      </c>
      <c r="AS24" s="194">
        <v>0.86666667461395264</v>
      </c>
      <c r="AT24" s="194">
        <v>15</v>
      </c>
      <c r="AU24" s="194">
        <v>0.7023809552192688</v>
      </c>
      <c r="AV24" s="194">
        <v>0.5604250431060791</v>
      </c>
      <c r="AW24" s="194">
        <v>0.85775673389434814</v>
      </c>
      <c r="AX24" s="194">
        <v>0.86363637447357178</v>
      </c>
      <c r="AY24" s="194">
        <v>22</v>
      </c>
      <c r="AZ24" s="194">
        <v>0.67500001192092896</v>
      </c>
      <c r="BA24" s="194">
        <v>0.55675369501113892</v>
      </c>
      <c r="BB24" s="194">
        <v>0.86142808198928833</v>
      </c>
      <c r="BC24" s="194">
        <v>0.57894736528396606</v>
      </c>
      <c r="BD24" s="194">
        <v>19</v>
      </c>
      <c r="BE24" s="194">
        <v>0.70909088850021362</v>
      </c>
      <c r="BF24" s="194"/>
      <c r="BG24" s="194"/>
      <c r="BH24" s="194"/>
      <c r="BI24" s="194"/>
      <c r="BJ24" s="194"/>
      <c r="BK24" s="194"/>
      <c r="BL24" s="194"/>
      <c r="BM24" s="194"/>
      <c r="BN24" s="194"/>
      <c r="BO24" s="194"/>
      <c r="BP24" s="194"/>
      <c r="BQ24" s="194"/>
      <c r="BR24" s="194"/>
      <c r="BS24" s="194"/>
      <c r="BT24" s="194"/>
      <c r="BU24" s="194"/>
    </row>
    <row r="25" spans="1:73" x14ac:dyDescent="0.3">
      <c r="A25" s="193" t="s">
        <v>396</v>
      </c>
      <c r="B25" s="194">
        <v>0.77027028799057007</v>
      </c>
      <c r="C25" s="194">
        <v>0.53393203020095825</v>
      </c>
      <c r="D25" s="194">
        <v>0.85518926382064819</v>
      </c>
      <c r="E25" s="194">
        <v>0.85000002384185791</v>
      </c>
      <c r="F25" s="194">
        <v>20</v>
      </c>
      <c r="G25" s="194">
        <v>0.79365080595016479</v>
      </c>
      <c r="H25" s="194">
        <v>0.52047276496887207</v>
      </c>
      <c r="I25" s="194">
        <v>0.86864852905273438</v>
      </c>
      <c r="J25" s="194"/>
      <c r="K25" s="194"/>
      <c r="L25" s="194">
        <v>0.72727274894714355</v>
      </c>
      <c r="M25" s="194">
        <v>0.53709220886230469</v>
      </c>
      <c r="N25" s="194">
        <v>0.85202908515930176</v>
      </c>
      <c r="O25" s="194">
        <v>0.73529410362243652</v>
      </c>
      <c r="P25" s="194">
        <v>34</v>
      </c>
      <c r="Q25" s="194">
        <v>0.75</v>
      </c>
      <c r="R25" s="194">
        <v>0.52699524164199829</v>
      </c>
      <c r="S25" s="194">
        <v>0.86212605237960815</v>
      </c>
      <c r="T25" s="194">
        <v>0.6428571343421936</v>
      </c>
      <c r="U25" s="194">
        <v>14</v>
      </c>
      <c r="V25" s="194">
        <v>0.73846155405044556</v>
      </c>
      <c r="W25" s="194">
        <v>0.52317196130752563</v>
      </c>
      <c r="X25" s="194">
        <v>0.86594933271408081</v>
      </c>
      <c r="Y25" s="194">
        <v>0.82352942228317261</v>
      </c>
      <c r="Z25" s="194">
        <v>17</v>
      </c>
      <c r="AA25" s="194">
        <v>0.73493975400924683</v>
      </c>
      <c r="AB25" s="194">
        <v>0.54289060831069946</v>
      </c>
      <c r="AC25" s="194">
        <v>0.84623068571090698</v>
      </c>
      <c r="AD25" s="194">
        <v>0.72222220897674561</v>
      </c>
      <c r="AE25" s="194">
        <v>18</v>
      </c>
      <c r="AF25" s="194">
        <v>0.75</v>
      </c>
      <c r="AG25" s="194">
        <v>0.52183818817138672</v>
      </c>
      <c r="AH25" s="194">
        <v>0.86728310585021973</v>
      </c>
      <c r="AI25" s="194">
        <v>0.80000001192092896</v>
      </c>
      <c r="AJ25" s="194">
        <v>15</v>
      </c>
      <c r="AK25" s="194">
        <v>0.74683547019958496</v>
      </c>
      <c r="AL25" s="194">
        <v>0.53909826278686523</v>
      </c>
      <c r="AM25" s="194">
        <v>0.85002303123474121</v>
      </c>
      <c r="AN25" s="194">
        <v>0.68965518474578857</v>
      </c>
      <c r="AO25" s="194">
        <v>29</v>
      </c>
      <c r="AP25" s="194">
        <v>0.6860465407371521</v>
      </c>
      <c r="AQ25" s="194">
        <v>0.54555952548980713</v>
      </c>
      <c r="AR25" s="194">
        <v>0.84356176853179932</v>
      </c>
      <c r="AS25" s="194">
        <v>0.58333331346511841</v>
      </c>
      <c r="AT25" s="194">
        <v>24</v>
      </c>
      <c r="AU25" s="194">
        <v>0.66304349899291992</v>
      </c>
      <c r="AV25" s="194">
        <v>0.55050015449523926</v>
      </c>
      <c r="AW25" s="194">
        <v>0.83862113952636719</v>
      </c>
      <c r="AX25" s="194">
        <v>0.625</v>
      </c>
      <c r="AY25" s="194">
        <v>24</v>
      </c>
      <c r="AZ25" s="194">
        <v>0.63265305757522583</v>
      </c>
      <c r="BA25" s="194">
        <v>0.55497980117797852</v>
      </c>
      <c r="BB25" s="194">
        <v>0.83414149284362793</v>
      </c>
      <c r="BC25" s="194">
        <v>0.61904764175415039</v>
      </c>
      <c r="BD25" s="194">
        <v>21</v>
      </c>
      <c r="BE25" s="194">
        <v>0.69456064701080322</v>
      </c>
      <c r="BF25" s="194"/>
      <c r="BG25" s="194"/>
      <c r="BH25" s="194"/>
      <c r="BI25" s="194"/>
      <c r="BJ25" s="194"/>
      <c r="BK25" s="194"/>
      <c r="BL25" s="194"/>
      <c r="BM25" s="194"/>
      <c r="BN25" s="194"/>
      <c r="BO25" s="194"/>
      <c r="BP25" s="194"/>
      <c r="BQ25" s="194"/>
      <c r="BR25" s="194"/>
      <c r="BS25" s="194"/>
      <c r="BT25" s="194"/>
      <c r="BU25" s="194"/>
    </row>
    <row r="26" spans="1:73" x14ac:dyDescent="0.3">
      <c r="A26" s="193" t="s">
        <v>272</v>
      </c>
      <c r="B26" s="194">
        <v>0.80000001192092896</v>
      </c>
      <c r="C26" s="194">
        <v>0.25039854645729065</v>
      </c>
      <c r="D26" s="194">
        <v>1</v>
      </c>
      <c r="E26" s="194">
        <v>0.80000001192092896</v>
      </c>
      <c r="F26" s="194">
        <v>10</v>
      </c>
      <c r="G26" s="194">
        <v>0.80000001192092896</v>
      </c>
      <c r="H26" s="194">
        <v>0.25039854645729065</v>
      </c>
      <c r="I26" s="194">
        <v>1</v>
      </c>
      <c r="J26" s="194"/>
      <c r="K26" s="194"/>
      <c r="L26" s="194">
        <v>0.82758623361587524</v>
      </c>
      <c r="M26" s="194">
        <v>0.43160697817802429</v>
      </c>
      <c r="N26" s="194">
        <v>0.94718092679977417</v>
      </c>
      <c r="O26" s="194">
        <v>0.84210526943206787</v>
      </c>
      <c r="P26" s="194">
        <v>19</v>
      </c>
      <c r="Q26" s="194">
        <v>0.82758623361587524</v>
      </c>
      <c r="R26" s="194">
        <v>0.43160697817802429</v>
      </c>
      <c r="S26" s="194">
        <v>0.94718092679977417</v>
      </c>
      <c r="T26" s="194"/>
      <c r="U26" s="194"/>
      <c r="V26" s="194">
        <v>0.75862067937850952</v>
      </c>
      <c r="W26" s="194">
        <v>0.43160697817802429</v>
      </c>
      <c r="X26" s="194">
        <v>0.94718092679977417</v>
      </c>
      <c r="Y26" s="194">
        <v>0.60000002384185791</v>
      </c>
      <c r="Z26" s="194">
        <v>10</v>
      </c>
      <c r="AA26" s="194">
        <v>0.65116280317306519</v>
      </c>
      <c r="AB26" s="194">
        <v>0.47769156098365784</v>
      </c>
      <c r="AC26" s="194">
        <v>0.90109628438949585</v>
      </c>
      <c r="AD26" s="194">
        <v>0.4285714328289032</v>
      </c>
      <c r="AE26" s="194">
        <v>14</v>
      </c>
      <c r="AF26" s="194">
        <v>0.5128205418586731</v>
      </c>
      <c r="AG26" s="194">
        <v>0.46709999442100525</v>
      </c>
      <c r="AH26" s="194">
        <v>0.91168791055679321</v>
      </c>
      <c r="AI26" s="194">
        <v>0.53333336114883423</v>
      </c>
      <c r="AJ26" s="194">
        <v>15</v>
      </c>
      <c r="AK26" s="194">
        <v>0.56000000238418579</v>
      </c>
      <c r="AL26" s="194">
        <v>0.49306923151016235</v>
      </c>
      <c r="AM26" s="194">
        <v>0.88571864366531372</v>
      </c>
      <c r="AN26" s="194">
        <v>0.72727274894714355</v>
      </c>
      <c r="AO26" s="194">
        <v>11</v>
      </c>
      <c r="AP26" s="194">
        <v>0.63157892227172852</v>
      </c>
      <c r="AQ26" s="194">
        <v>0.50551903247833252</v>
      </c>
      <c r="AR26" s="194">
        <v>0.87326884269714355</v>
      </c>
      <c r="AS26" s="194">
        <v>0.82352942228317261</v>
      </c>
      <c r="AT26" s="194">
        <v>17</v>
      </c>
      <c r="AU26" s="194">
        <v>0.6875</v>
      </c>
      <c r="AV26" s="194">
        <v>0.51586580276489258</v>
      </c>
      <c r="AW26" s="194">
        <v>0.8629220724105835</v>
      </c>
      <c r="AX26" s="194">
        <v>0.66666668653488159</v>
      </c>
      <c r="AY26" s="194">
        <v>21</v>
      </c>
      <c r="AZ26" s="194">
        <v>0.734375</v>
      </c>
      <c r="BA26" s="194">
        <v>0.51586580276489258</v>
      </c>
      <c r="BB26" s="194">
        <v>0.8629220724105835</v>
      </c>
      <c r="BC26" s="194">
        <v>0.73333334922790527</v>
      </c>
      <c r="BD26" s="194">
        <v>15</v>
      </c>
      <c r="BE26" s="194">
        <v>0.68939393758773804</v>
      </c>
      <c r="BF26" s="194"/>
      <c r="BG26" s="194"/>
      <c r="BH26" s="194"/>
      <c r="BI26" s="194"/>
      <c r="BJ26" s="194"/>
      <c r="BK26" s="194"/>
      <c r="BL26" s="194"/>
      <c r="BM26" s="194"/>
      <c r="BN26" s="194"/>
      <c r="BO26" s="194"/>
      <c r="BP26" s="194"/>
      <c r="BQ26" s="194"/>
      <c r="BR26" s="194"/>
      <c r="BS26" s="194"/>
      <c r="BT26" s="194"/>
      <c r="BU26" s="194"/>
    </row>
    <row r="27" spans="1:73" x14ac:dyDescent="0.3">
      <c r="A27" s="193" t="s">
        <v>276</v>
      </c>
      <c r="B27" s="194"/>
      <c r="C27" s="194"/>
      <c r="D27" s="194"/>
      <c r="E27" s="194">
        <v>0.53846156597137451</v>
      </c>
      <c r="F27" s="194">
        <v>13</v>
      </c>
      <c r="G27" s="194"/>
      <c r="H27" s="194"/>
      <c r="I27" s="194"/>
      <c r="J27" s="194"/>
      <c r="K27" s="194"/>
      <c r="L27" s="194"/>
      <c r="M27" s="194"/>
      <c r="N27" s="194"/>
      <c r="O27" s="194">
        <v>0.71428573131561279</v>
      </c>
      <c r="P27" s="194">
        <v>14</v>
      </c>
      <c r="Q27" s="194"/>
      <c r="R27" s="194"/>
      <c r="S27" s="194"/>
      <c r="T27" s="194">
        <v>0.69999998807907104</v>
      </c>
      <c r="U27" s="194">
        <v>10</v>
      </c>
      <c r="V27" s="194"/>
      <c r="W27" s="194"/>
      <c r="X27" s="194"/>
      <c r="Y27" s="194"/>
      <c r="Z27" s="194"/>
      <c r="AA27" s="194"/>
      <c r="AB27" s="194"/>
      <c r="AC27" s="194"/>
      <c r="AD27" s="194">
        <v>0.61538463830947876</v>
      </c>
      <c r="AE27" s="194">
        <v>13</v>
      </c>
      <c r="AF27" s="194"/>
      <c r="AG27" s="194"/>
      <c r="AH27" s="194"/>
      <c r="AI27" s="194"/>
      <c r="AJ27" s="194"/>
      <c r="AK27" s="194"/>
      <c r="AL27" s="194"/>
      <c r="AM27" s="194"/>
      <c r="AN27" s="194">
        <v>0.10000000149011612</v>
      </c>
      <c r="AO27" s="194">
        <v>10</v>
      </c>
      <c r="AP27" s="194"/>
      <c r="AQ27" s="194"/>
      <c r="AR27" s="194"/>
      <c r="AS27" s="194"/>
      <c r="AT27" s="194"/>
      <c r="AU27" s="194"/>
      <c r="AV27" s="194"/>
      <c r="AW27" s="194"/>
      <c r="AX27" s="194">
        <v>0.21052631735801697</v>
      </c>
      <c r="AY27" s="194">
        <v>19</v>
      </c>
      <c r="AZ27" s="194"/>
      <c r="BA27" s="194"/>
      <c r="BB27" s="194"/>
      <c r="BC27" s="194">
        <v>0.69230771064758301</v>
      </c>
      <c r="BD27" s="194">
        <v>13</v>
      </c>
      <c r="BE27" s="194"/>
      <c r="BF27" s="194"/>
      <c r="BG27" s="194"/>
      <c r="BH27" s="194"/>
      <c r="BI27" s="194"/>
      <c r="BJ27" s="194"/>
      <c r="BK27" s="194"/>
      <c r="BL27" s="194"/>
      <c r="BM27" s="194"/>
      <c r="BN27" s="194"/>
      <c r="BO27" s="194"/>
      <c r="BP27" s="194"/>
      <c r="BQ27" s="194"/>
      <c r="BR27" s="194"/>
      <c r="BS27" s="194"/>
      <c r="BT27" s="194"/>
      <c r="BU27" s="194"/>
    </row>
    <row r="28" spans="1:73" x14ac:dyDescent="0.3">
      <c r="A28" s="193" t="s">
        <v>502</v>
      </c>
      <c r="B28" s="194"/>
      <c r="C28" s="194"/>
      <c r="D28" s="194"/>
      <c r="E28" s="194">
        <v>0.72727274894714355</v>
      </c>
      <c r="F28" s="194">
        <v>11</v>
      </c>
      <c r="G28" s="194"/>
      <c r="H28" s="194"/>
      <c r="I28" s="194"/>
      <c r="J28" s="194">
        <v>0.81818181276321411</v>
      </c>
      <c r="K28" s="194">
        <v>11</v>
      </c>
      <c r="L28" s="194"/>
      <c r="M28" s="194"/>
      <c r="N28" s="194"/>
      <c r="O28" s="194">
        <v>0.76470589637756348</v>
      </c>
      <c r="P28" s="194">
        <v>17</v>
      </c>
      <c r="Q28" s="194"/>
      <c r="R28" s="194"/>
      <c r="S28" s="194"/>
      <c r="T28" s="194"/>
      <c r="U28" s="194"/>
      <c r="V28" s="194"/>
      <c r="W28" s="194"/>
      <c r="X28" s="194"/>
      <c r="Y28" s="194">
        <v>0.69999998807907104</v>
      </c>
      <c r="Z28" s="194">
        <v>10</v>
      </c>
      <c r="AA28" s="194"/>
      <c r="AB28" s="194"/>
      <c r="AC28" s="194"/>
      <c r="AD28" s="194"/>
      <c r="AE28" s="194"/>
      <c r="AF28" s="194"/>
      <c r="AG28" s="194"/>
      <c r="AH28" s="194"/>
      <c r="AI28" s="194">
        <v>0.30769231915473938</v>
      </c>
      <c r="AJ28" s="194">
        <v>13</v>
      </c>
      <c r="AK28" s="194"/>
      <c r="AL28" s="194"/>
      <c r="AM28" s="194"/>
      <c r="AN28" s="194"/>
      <c r="AO28" s="194"/>
      <c r="AP28" s="194"/>
      <c r="AQ28" s="194"/>
      <c r="AR28" s="194"/>
      <c r="AS28" s="194">
        <v>0.20000000298023224</v>
      </c>
      <c r="AT28" s="194">
        <v>10</v>
      </c>
      <c r="AU28" s="194"/>
      <c r="AV28" s="194"/>
      <c r="AW28" s="194"/>
      <c r="AX28" s="194"/>
      <c r="AY28" s="194"/>
      <c r="AZ28" s="194"/>
      <c r="BA28" s="194"/>
      <c r="BB28" s="194"/>
      <c r="BC28" s="194">
        <v>0.46153846383094788</v>
      </c>
      <c r="BD28" s="194">
        <v>13</v>
      </c>
      <c r="BE28" s="194"/>
      <c r="BF28" s="194"/>
      <c r="BG28" s="194"/>
      <c r="BH28" s="194"/>
      <c r="BI28" s="194"/>
      <c r="BJ28" s="194"/>
      <c r="BK28" s="194"/>
      <c r="BL28" s="194"/>
      <c r="BM28" s="194"/>
      <c r="BN28" s="194"/>
      <c r="BO28" s="194"/>
      <c r="BP28" s="194"/>
      <c r="BQ28" s="194"/>
      <c r="BR28" s="194"/>
      <c r="BS28" s="194"/>
      <c r="BT28" s="194"/>
      <c r="BU28" s="194"/>
    </row>
    <row r="29" spans="1:73" x14ac:dyDescent="0.3">
      <c r="A29" s="193" t="s">
        <v>314</v>
      </c>
      <c r="B29" s="194"/>
      <c r="C29" s="194"/>
      <c r="D29" s="194"/>
      <c r="E29" s="194"/>
      <c r="F29" s="194"/>
      <c r="G29" s="194"/>
      <c r="H29" s="194"/>
      <c r="I29" s="194"/>
      <c r="J29" s="194">
        <v>0.61538463830947876</v>
      </c>
      <c r="K29" s="194">
        <v>13</v>
      </c>
      <c r="L29" s="194"/>
      <c r="M29" s="194"/>
      <c r="N29" s="194"/>
      <c r="O29" s="194">
        <v>0.6428571343421936</v>
      </c>
      <c r="P29" s="194">
        <v>14</v>
      </c>
      <c r="Q29" s="194"/>
      <c r="R29" s="194"/>
      <c r="S29" s="194"/>
      <c r="T29" s="194"/>
      <c r="U29" s="194"/>
      <c r="V29" s="194"/>
      <c r="W29" s="194"/>
      <c r="X29" s="194"/>
      <c r="Y29" s="194">
        <v>0.82352942228317261</v>
      </c>
      <c r="Z29" s="194">
        <v>17</v>
      </c>
      <c r="AA29" s="194"/>
      <c r="AB29" s="194"/>
      <c r="AC29" s="194"/>
      <c r="AD29" s="194"/>
      <c r="AE29" s="194"/>
      <c r="AF29" s="194"/>
      <c r="AG29" s="194"/>
      <c r="AH29" s="194"/>
      <c r="AI29" s="194">
        <v>0.86666667461395264</v>
      </c>
      <c r="AJ29" s="194">
        <v>15</v>
      </c>
      <c r="AK29" s="194"/>
      <c r="AL29" s="194"/>
      <c r="AM29" s="194"/>
      <c r="AN29" s="194">
        <v>0.90909093618392944</v>
      </c>
      <c r="AO29" s="194">
        <v>11</v>
      </c>
      <c r="AP29" s="194"/>
      <c r="AQ29" s="194"/>
      <c r="AR29" s="194"/>
      <c r="AS29" s="194"/>
      <c r="AT29" s="194"/>
      <c r="AU29" s="194"/>
      <c r="AV29" s="194"/>
      <c r="AW29" s="194"/>
      <c r="AX29" s="194">
        <v>0.53333336114883423</v>
      </c>
      <c r="AY29" s="194">
        <v>15</v>
      </c>
      <c r="AZ29" s="194"/>
      <c r="BA29" s="194"/>
      <c r="BB29" s="194"/>
      <c r="BC29" s="194"/>
      <c r="BD29" s="194"/>
      <c r="BE29" s="194"/>
      <c r="BF29" s="194"/>
      <c r="BG29" s="194"/>
      <c r="BH29" s="194"/>
      <c r="BI29" s="194"/>
      <c r="BJ29" s="194"/>
      <c r="BK29" s="194"/>
      <c r="BL29" s="194"/>
      <c r="BM29" s="194"/>
      <c r="BN29" s="194"/>
      <c r="BO29" s="194"/>
      <c r="BP29" s="194"/>
      <c r="BQ29" s="194"/>
      <c r="BR29" s="194"/>
      <c r="BS29" s="194"/>
      <c r="BT29" s="194"/>
      <c r="BU29" s="194"/>
    </row>
    <row r="30" spans="1:73" x14ac:dyDescent="0.3">
      <c r="A30" s="193" t="s">
        <v>425</v>
      </c>
      <c r="B30" s="194">
        <v>0.71929824352264404</v>
      </c>
      <c r="C30" s="194">
        <v>0.58728742599487305</v>
      </c>
      <c r="D30" s="194">
        <v>0.92786407470703125</v>
      </c>
      <c r="E30" s="194">
        <v>0.4166666567325592</v>
      </c>
      <c r="F30" s="194">
        <v>12</v>
      </c>
      <c r="G30" s="194">
        <v>0.64912283420562744</v>
      </c>
      <c r="H30" s="194">
        <v>0.58728742599487305</v>
      </c>
      <c r="I30" s="194">
        <v>0.92786407470703125</v>
      </c>
      <c r="J30" s="194">
        <v>0.63636362552642822</v>
      </c>
      <c r="K30" s="194">
        <v>11</v>
      </c>
      <c r="L30" s="194">
        <v>0.68181818723678589</v>
      </c>
      <c r="M30" s="194">
        <v>0.56375694274902344</v>
      </c>
      <c r="N30" s="194">
        <v>0.95139455795288086</v>
      </c>
      <c r="O30" s="194"/>
      <c r="P30" s="194"/>
      <c r="Q30" s="194">
        <v>0.64999997615814209</v>
      </c>
      <c r="R30" s="194">
        <v>0.55429685115814209</v>
      </c>
      <c r="S30" s="194">
        <v>0.96085464954376221</v>
      </c>
      <c r="T30" s="194">
        <v>0.82352942228317261</v>
      </c>
      <c r="U30" s="194">
        <v>17</v>
      </c>
      <c r="V30" s="194">
        <v>0.79487180709838867</v>
      </c>
      <c r="W30" s="194">
        <v>0.55170720815658569</v>
      </c>
      <c r="X30" s="194">
        <v>0.9634442925453186</v>
      </c>
      <c r="Y30" s="194">
        <v>0.90909093618392944</v>
      </c>
      <c r="Z30" s="194">
        <v>11</v>
      </c>
      <c r="AA30" s="194">
        <v>0.85365855693817139</v>
      </c>
      <c r="AB30" s="194">
        <v>0.55679112672805786</v>
      </c>
      <c r="AC30" s="194">
        <v>0.95836037397384644</v>
      </c>
      <c r="AD30" s="194">
        <v>0.8461538553237915</v>
      </c>
      <c r="AE30" s="194">
        <v>13</v>
      </c>
      <c r="AF30" s="194">
        <v>0.82758623361587524</v>
      </c>
      <c r="AG30" s="194">
        <v>0.58876180648803711</v>
      </c>
      <c r="AH30" s="194">
        <v>0.92638969421386719</v>
      </c>
      <c r="AI30" s="194">
        <v>0.76470589637756348</v>
      </c>
      <c r="AJ30" s="194">
        <v>17</v>
      </c>
      <c r="AK30" s="194">
        <v>0.76190477609634399</v>
      </c>
      <c r="AL30" s="194">
        <v>0.59559923410415649</v>
      </c>
      <c r="AM30" s="194">
        <v>0.9195522665977478</v>
      </c>
      <c r="AN30" s="194">
        <v>0.63636362552642822</v>
      </c>
      <c r="AO30" s="194">
        <v>22</v>
      </c>
      <c r="AP30" s="194">
        <v>0.75757575035095215</v>
      </c>
      <c r="AQ30" s="194">
        <v>0.5993233323097229</v>
      </c>
      <c r="AR30" s="194">
        <v>0.9158281683921814</v>
      </c>
      <c r="AS30" s="194">
        <v>0.8571428656578064</v>
      </c>
      <c r="AT30" s="194">
        <v>14</v>
      </c>
      <c r="AU30" s="194">
        <v>0.72463768720626831</v>
      </c>
      <c r="AV30" s="194">
        <v>0.6028018593788147</v>
      </c>
      <c r="AW30" s="194">
        <v>0.9123496413230896</v>
      </c>
      <c r="AX30" s="194">
        <v>0.6875</v>
      </c>
      <c r="AY30" s="194">
        <v>16</v>
      </c>
      <c r="AZ30" s="194">
        <v>0.74603176116943359</v>
      </c>
      <c r="BA30" s="194">
        <v>0.59559923410415649</v>
      </c>
      <c r="BB30" s="194">
        <v>0.9195522665977478</v>
      </c>
      <c r="BC30" s="194">
        <v>0.90909093618392944</v>
      </c>
      <c r="BD30" s="194">
        <v>11</v>
      </c>
      <c r="BE30" s="194">
        <v>0.75757575035095215</v>
      </c>
      <c r="BF30" s="194"/>
      <c r="BG30" s="194"/>
      <c r="BH30" s="194"/>
      <c r="BI30" s="194"/>
      <c r="BJ30" s="194"/>
      <c r="BK30" s="194"/>
      <c r="BL30" s="194"/>
      <c r="BM30" s="194"/>
      <c r="BN30" s="194"/>
      <c r="BO30" s="194"/>
      <c r="BP30" s="194"/>
      <c r="BQ30" s="194"/>
      <c r="BR30" s="194"/>
      <c r="BS30" s="194"/>
      <c r="BT30" s="194"/>
      <c r="BU30" s="194"/>
    </row>
    <row r="31" spans="1:73" x14ac:dyDescent="0.3">
      <c r="A31" s="193" t="s">
        <v>306</v>
      </c>
      <c r="B31" s="194">
        <v>0.5446428656578064</v>
      </c>
      <c r="C31" s="194">
        <v>0.49929860234260559</v>
      </c>
      <c r="D31" s="194">
        <v>0.77212995290756226</v>
      </c>
      <c r="E31" s="194">
        <v>0.57142859697341919</v>
      </c>
      <c r="F31" s="194">
        <v>28</v>
      </c>
      <c r="G31" s="194">
        <v>0.61764705181121826</v>
      </c>
      <c r="H31" s="194">
        <v>0.49276790022850037</v>
      </c>
      <c r="I31" s="194">
        <v>0.77866071462631226</v>
      </c>
      <c r="J31" s="194">
        <v>0.84210526943206787</v>
      </c>
      <c r="K31" s="194">
        <v>19</v>
      </c>
      <c r="L31" s="194">
        <v>0.71264368295669556</v>
      </c>
      <c r="M31" s="194">
        <v>0.48093470931053162</v>
      </c>
      <c r="N31" s="194">
        <v>0.79049390554428101</v>
      </c>
      <c r="O31" s="194">
        <v>0.83333331346511841</v>
      </c>
      <c r="P31" s="194">
        <v>18</v>
      </c>
      <c r="Q31" s="194">
        <v>0.70588237047195435</v>
      </c>
      <c r="R31" s="194">
        <v>0.47912436723709106</v>
      </c>
      <c r="S31" s="194">
        <v>0.79230421781539917</v>
      </c>
      <c r="T31" s="194">
        <v>0.64999997615814209</v>
      </c>
      <c r="U31" s="194">
        <v>20</v>
      </c>
      <c r="V31" s="194">
        <v>0.73684209585189819</v>
      </c>
      <c r="W31" s="194">
        <v>0.47011193633079529</v>
      </c>
      <c r="X31" s="194">
        <v>0.80131667852401733</v>
      </c>
      <c r="Y31" s="194">
        <v>0.63157892227172852</v>
      </c>
      <c r="Z31" s="194">
        <v>19</v>
      </c>
      <c r="AA31" s="194">
        <v>0.707317054271698</v>
      </c>
      <c r="AB31" s="194">
        <v>0.47628563642501831</v>
      </c>
      <c r="AC31" s="194">
        <v>0.79514294862747192</v>
      </c>
      <c r="AD31" s="194">
        <v>0.72000002861022949</v>
      </c>
      <c r="AE31" s="194">
        <v>25</v>
      </c>
      <c r="AF31" s="194">
        <v>0.60638296604156494</v>
      </c>
      <c r="AG31" s="194">
        <v>0.48680925369262695</v>
      </c>
      <c r="AH31" s="194">
        <v>0.78461933135986328</v>
      </c>
      <c r="AI31" s="194">
        <v>0.46666666865348816</v>
      </c>
      <c r="AJ31" s="194">
        <v>30</v>
      </c>
      <c r="AK31" s="194">
        <v>0.55555558204650879</v>
      </c>
      <c r="AL31" s="194">
        <v>0.49061819911003113</v>
      </c>
      <c r="AM31" s="194">
        <v>0.78081035614013672</v>
      </c>
      <c r="AN31" s="194">
        <v>0.43999999761581421</v>
      </c>
      <c r="AO31" s="194">
        <v>25</v>
      </c>
      <c r="AP31" s="194">
        <v>0.55000001192092896</v>
      </c>
      <c r="AQ31" s="194">
        <v>0.49134549498558044</v>
      </c>
      <c r="AR31" s="194">
        <v>0.7800830602645874</v>
      </c>
      <c r="AS31" s="194">
        <v>0.60000002384185791</v>
      </c>
      <c r="AT31" s="194">
        <v>20</v>
      </c>
      <c r="AU31" s="194">
        <v>0.49056604504585266</v>
      </c>
      <c r="AV31" s="194">
        <v>0.49549093842506409</v>
      </c>
      <c r="AW31" s="194">
        <v>0.77593767642974854</v>
      </c>
      <c r="AX31" s="194">
        <v>0.48387095332145691</v>
      </c>
      <c r="AY31" s="194">
        <v>31</v>
      </c>
      <c r="AZ31" s="194">
        <v>0.59595960378646851</v>
      </c>
      <c r="BA31" s="194">
        <v>0.49061819911003113</v>
      </c>
      <c r="BB31" s="194">
        <v>0.78081035614013672</v>
      </c>
      <c r="BC31" s="194">
        <v>0.91304349899291992</v>
      </c>
      <c r="BD31" s="194">
        <v>23</v>
      </c>
      <c r="BE31" s="194">
        <v>0.63571429252624512</v>
      </c>
      <c r="BF31" s="194"/>
      <c r="BG31" s="194"/>
      <c r="BH31" s="194"/>
      <c r="BI31" s="194"/>
      <c r="BJ31" s="194"/>
      <c r="BK31" s="194"/>
      <c r="BL31" s="194"/>
      <c r="BM31" s="194"/>
      <c r="BN31" s="194"/>
      <c r="BO31" s="194"/>
      <c r="BP31" s="194"/>
      <c r="BQ31" s="194"/>
      <c r="BR31" s="194"/>
      <c r="BS31" s="194"/>
      <c r="BT31" s="194"/>
      <c r="BU31" s="194"/>
    </row>
    <row r="32" spans="1:73" x14ac:dyDescent="0.3">
      <c r="A32" s="193" t="s">
        <v>468</v>
      </c>
      <c r="B32" s="194">
        <v>0.86274510622024536</v>
      </c>
      <c r="C32" s="194">
        <v>0.63235366344451904</v>
      </c>
      <c r="D32" s="194">
        <v>0.88631856441497803</v>
      </c>
      <c r="E32" s="194">
        <v>0.9523809552192688</v>
      </c>
      <c r="F32" s="194">
        <v>21</v>
      </c>
      <c r="G32" s="194">
        <v>0.86315786838531494</v>
      </c>
      <c r="H32" s="194">
        <v>0.62775850296020508</v>
      </c>
      <c r="I32" s="194">
        <v>0.89091372489929199</v>
      </c>
      <c r="J32" s="194">
        <v>0.85000002384185791</v>
      </c>
      <c r="K32" s="194">
        <v>20</v>
      </c>
      <c r="L32" s="194">
        <v>0.76829266548156738</v>
      </c>
      <c r="M32" s="194">
        <v>0.61771214008331299</v>
      </c>
      <c r="N32" s="194">
        <v>0.90096008777618408</v>
      </c>
      <c r="O32" s="194">
        <v>0.4375</v>
      </c>
      <c r="P32" s="194">
        <v>16</v>
      </c>
      <c r="Q32" s="194">
        <v>0.80263155698776245</v>
      </c>
      <c r="R32" s="194">
        <v>0.6122279167175293</v>
      </c>
      <c r="S32" s="194">
        <v>0.90644431114196777</v>
      </c>
      <c r="T32" s="194">
        <v>0.89473682641983032</v>
      </c>
      <c r="U32" s="194">
        <v>19</v>
      </c>
      <c r="V32" s="194">
        <v>0.76712328195571899</v>
      </c>
      <c r="W32" s="194">
        <v>0.60923552513122559</v>
      </c>
      <c r="X32" s="194">
        <v>0.90943670272827148</v>
      </c>
      <c r="Y32" s="194">
        <v>0.83333331346511841</v>
      </c>
      <c r="Z32" s="194">
        <v>18</v>
      </c>
      <c r="AA32" s="194">
        <v>0.78571426868438721</v>
      </c>
      <c r="AB32" s="194">
        <v>0.60605287551879883</v>
      </c>
      <c r="AC32" s="194">
        <v>0.91261935234069824</v>
      </c>
      <c r="AD32" s="194">
        <v>0.94117647409439087</v>
      </c>
      <c r="AE32" s="194">
        <v>17</v>
      </c>
      <c r="AF32" s="194">
        <v>0.87012988328933716</v>
      </c>
      <c r="AG32" s="194">
        <v>0.61318624019622803</v>
      </c>
      <c r="AH32" s="194">
        <v>0.90548598766326904</v>
      </c>
      <c r="AI32" s="194">
        <v>0.82608693838119507</v>
      </c>
      <c r="AJ32" s="194">
        <v>23</v>
      </c>
      <c r="AK32" s="194">
        <v>0.81690138578414917</v>
      </c>
      <c r="AL32" s="194">
        <v>0.60713613033294678</v>
      </c>
      <c r="AM32" s="194">
        <v>0.91153609752655029</v>
      </c>
      <c r="AN32" s="194">
        <v>0.61538463830947876</v>
      </c>
      <c r="AO32" s="194">
        <v>13</v>
      </c>
      <c r="AP32" s="194">
        <v>0.74358975887298584</v>
      </c>
      <c r="AQ32" s="194">
        <v>0.61412614583969116</v>
      </c>
      <c r="AR32" s="194">
        <v>0.90454608201980591</v>
      </c>
      <c r="AS32" s="194">
        <v>0.60000002384185791</v>
      </c>
      <c r="AT32" s="194">
        <v>25</v>
      </c>
      <c r="AU32" s="194">
        <v>0.66666668653488159</v>
      </c>
      <c r="AV32" s="194">
        <v>0.62184196710586548</v>
      </c>
      <c r="AW32" s="194">
        <v>0.89683026075363159</v>
      </c>
      <c r="AX32" s="194">
        <v>0.61538463830947876</v>
      </c>
      <c r="AY32" s="194">
        <v>26</v>
      </c>
      <c r="AZ32" s="194">
        <v>0.64634144306182861</v>
      </c>
      <c r="BA32" s="194">
        <v>0.61771214008331299</v>
      </c>
      <c r="BB32" s="194">
        <v>0.90096008777618408</v>
      </c>
      <c r="BC32" s="194">
        <v>0.77777779102325439</v>
      </c>
      <c r="BD32" s="194">
        <v>18</v>
      </c>
      <c r="BE32" s="194">
        <v>0.75933611392974854</v>
      </c>
      <c r="BF32" s="194"/>
      <c r="BG32" s="194"/>
      <c r="BH32" s="194"/>
      <c r="BI32" s="194"/>
      <c r="BJ32" s="194"/>
      <c r="BK32" s="194"/>
      <c r="BL32" s="194"/>
      <c r="BM32" s="194"/>
      <c r="BN32" s="194"/>
      <c r="BO32" s="194"/>
      <c r="BP32" s="194"/>
      <c r="BQ32" s="194"/>
      <c r="BR32" s="194"/>
      <c r="BS32" s="194"/>
      <c r="BT32" s="194"/>
      <c r="BU32" s="194"/>
    </row>
    <row r="33" spans="1:73" x14ac:dyDescent="0.3">
      <c r="A33" s="193" t="s">
        <v>448</v>
      </c>
      <c r="B33" s="194">
        <v>0.77142858505249023</v>
      </c>
      <c r="C33" s="194">
        <v>0.60131162405014038</v>
      </c>
      <c r="D33" s="194">
        <v>0.9095579981803894</v>
      </c>
      <c r="E33" s="194">
        <v>0.78947371244430542</v>
      </c>
      <c r="F33" s="194">
        <v>19</v>
      </c>
      <c r="G33" s="194">
        <v>0.796875</v>
      </c>
      <c r="H33" s="194">
        <v>0.59424889087677002</v>
      </c>
      <c r="I33" s="194">
        <v>0.91662073135375977</v>
      </c>
      <c r="J33" s="194">
        <v>0.72727274894714355</v>
      </c>
      <c r="K33" s="194">
        <v>11</v>
      </c>
      <c r="L33" s="194">
        <v>0.80882352590560913</v>
      </c>
      <c r="M33" s="194">
        <v>0.59906148910522461</v>
      </c>
      <c r="N33" s="194">
        <v>0.91180813312530518</v>
      </c>
      <c r="O33" s="194">
        <v>0.73913043737411499</v>
      </c>
      <c r="P33" s="194">
        <v>23</v>
      </c>
      <c r="Q33" s="194">
        <v>0.75342464447021484</v>
      </c>
      <c r="R33" s="194">
        <v>0.60451173782348633</v>
      </c>
      <c r="S33" s="194">
        <v>0.90635788440704346</v>
      </c>
      <c r="T33" s="194">
        <v>0.75</v>
      </c>
      <c r="U33" s="194">
        <v>20</v>
      </c>
      <c r="V33" s="194">
        <v>0.75</v>
      </c>
      <c r="W33" s="194">
        <v>0.59424889087677002</v>
      </c>
      <c r="X33" s="194">
        <v>0.91662073135375977</v>
      </c>
      <c r="Y33" s="194">
        <v>0.80000001192092896</v>
      </c>
      <c r="Z33" s="194">
        <v>10</v>
      </c>
      <c r="AA33" s="194">
        <v>0.75471699237823486</v>
      </c>
      <c r="AB33" s="194">
        <v>0.57831013202667236</v>
      </c>
      <c r="AC33" s="194">
        <v>0.93255949020385742</v>
      </c>
      <c r="AD33" s="194"/>
      <c r="AE33" s="194"/>
      <c r="AF33" s="194">
        <v>0.6808510422706604</v>
      </c>
      <c r="AG33" s="194">
        <v>0.56734377145767212</v>
      </c>
      <c r="AH33" s="194">
        <v>0.94352585077285767</v>
      </c>
      <c r="AI33" s="194">
        <v>0.52941179275512695</v>
      </c>
      <c r="AJ33" s="194">
        <v>17</v>
      </c>
      <c r="AK33" s="194">
        <v>0.69230771064758301</v>
      </c>
      <c r="AL33" s="194">
        <v>0.54895156621932983</v>
      </c>
      <c r="AM33" s="194">
        <v>0.96191805601119995</v>
      </c>
      <c r="AN33" s="194">
        <v>0.83333331346511841</v>
      </c>
      <c r="AO33" s="194">
        <v>12</v>
      </c>
      <c r="AP33" s="194">
        <v>0.67272728681564331</v>
      </c>
      <c r="AQ33" s="194">
        <v>0.58156037330627441</v>
      </c>
      <c r="AR33" s="194">
        <v>0.92930924892425537</v>
      </c>
      <c r="AS33" s="194">
        <v>0.69230771064758301</v>
      </c>
      <c r="AT33" s="194">
        <v>26</v>
      </c>
      <c r="AU33" s="194">
        <v>0.70588237047195435</v>
      </c>
      <c r="AV33" s="194">
        <v>0.59906148910522461</v>
      </c>
      <c r="AW33" s="194">
        <v>0.91180813312530518</v>
      </c>
      <c r="AX33" s="194">
        <v>0.8461538553237915</v>
      </c>
      <c r="AY33" s="194">
        <v>13</v>
      </c>
      <c r="AZ33" s="194">
        <v>0.75362318754196167</v>
      </c>
      <c r="BA33" s="194">
        <v>0.60019880533218384</v>
      </c>
      <c r="BB33" s="194">
        <v>0.91067081689834595</v>
      </c>
      <c r="BC33" s="194">
        <v>0.72222220897674561</v>
      </c>
      <c r="BD33" s="194">
        <v>18</v>
      </c>
      <c r="BE33" s="194">
        <v>0.75543481111526489</v>
      </c>
      <c r="BF33" s="194"/>
      <c r="BG33" s="194"/>
      <c r="BH33" s="194"/>
      <c r="BI33" s="194"/>
      <c r="BJ33" s="194"/>
      <c r="BK33" s="194"/>
      <c r="BL33" s="194"/>
      <c r="BM33" s="194"/>
      <c r="BN33" s="194"/>
      <c r="BO33" s="194"/>
      <c r="BP33" s="194"/>
      <c r="BQ33" s="194"/>
      <c r="BR33" s="194"/>
      <c r="BS33" s="194"/>
      <c r="BT33" s="194"/>
      <c r="BU33" s="194"/>
    </row>
    <row r="34" spans="1:73" x14ac:dyDescent="0.3">
      <c r="A34" s="193" t="s">
        <v>516</v>
      </c>
      <c r="B34" s="194">
        <v>0.9047619104385376</v>
      </c>
      <c r="C34" s="194">
        <v>0.73185199499130249</v>
      </c>
      <c r="D34" s="194">
        <v>0.94686287641525269</v>
      </c>
      <c r="E34" s="194">
        <v>0.92857140302658081</v>
      </c>
      <c r="F34" s="194">
        <v>28</v>
      </c>
      <c r="G34" s="194">
        <v>0.91089111566543579</v>
      </c>
      <c r="H34" s="194">
        <v>0.7297438383102417</v>
      </c>
      <c r="I34" s="194">
        <v>0.94897103309631348</v>
      </c>
      <c r="J34" s="194">
        <v>0.84210526943206787</v>
      </c>
      <c r="K34" s="194">
        <v>19</v>
      </c>
      <c r="L34" s="194">
        <v>0.89010989665985107</v>
      </c>
      <c r="M34" s="194">
        <v>0.72387808561325073</v>
      </c>
      <c r="N34" s="194">
        <v>0.95483678579330444</v>
      </c>
      <c r="O34" s="194">
        <v>0.88235294818878174</v>
      </c>
      <c r="P34" s="194">
        <v>17</v>
      </c>
      <c r="Q34" s="194">
        <v>0.87356323003768921</v>
      </c>
      <c r="R34" s="194">
        <v>0.72125321626663208</v>
      </c>
      <c r="S34" s="194">
        <v>0.9574616551399231</v>
      </c>
      <c r="T34" s="194">
        <v>0.82608693838119507</v>
      </c>
      <c r="U34" s="194">
        <v>23</v>
      </c>
      <c r="V34" s="194">
        <v>0.8461538553237915</v>
      </c>
      <c r="W34" s="194">
        <v>0.71462547779083252</v>
      </c>
      <c r="X34" s="194">
        <v>0.96408939361572266</v>
      </c>
      <c r="Y34" s="194">
        <v>0.84210526943206787</v>
      </c>
      <c r="Z34" s="194">
        <v>19</v>
      </c>
      <c r="AA34" s="194">
        <v>0.8571428656578064</v>
      </c>
      <c r="AB34" s="194">
        <v>0.7191627025604248</v>
      </c>
      <c r="AC34" s="194">
        <v>0.95955216884613037</v>
      </c>
      <c r="AD34" s="194">
        <v>0.87999999523162842</v>
      </c>
      <c r="AE34" s="194">
        <v>25</v>
      </c>
      <c r="AF34" s="194">
        <v>0.84337347745895386</v>
      </c>
      <c r="AG34" s="194">
        <v>0.71844083070755005</v>
      </c>
      <c r="AH34" s="194">
        <v>0.96027404069900513</v>
      </c>
      <c r="AI34" s="194">
        <v>0.8125</v>
      </c>
      <c r="AJ34" s="194">
        <v>16</v>
      </c>
      <c r="AK34" s="194">
        <v>0.80769228935241699</v>
      </c>
      <c r="AL34" s="194">
        <v>0.71462547779083252</v>
      </c>
      <c r="AM34" s="194">
        <v>0.96408939361572266</v>
      </c>
      <c r="AN34" s="194">
        <v>0.66666668653488159</v>
      </c>
      <c r="AO34" s="194">
        <v>18</v>
      </c>
      <c r="AP34" s="194">
        <v>0.78947371244430542</v>
      </c>
      <c r="AQ34" s="194">
        <v>0.71299493312835693</v>
      </c>
      <c r="AR34" s="194">
        <v>0.96571993827819824</v>
      </c>
      <c r="AS34" s="194">
        <v>0.76470589637756348</v>
      </c>
      <c r="AT34" s="194">
        <v>17</v>
      </c>
      <c r="AU34" s="194">
        <v>0.77464789152145386</v>
      </c>
      <c r="AV34" s="194">
        <v>0.70862120389938354</v>
      </c>
      <c r="AW34" s="194">
        <v>0.97009366750717163</v>
      </c>
      <c r="AX34" s="194">
        <v>0.85000002384185791</v>
      </c>
      <c r="AY34" s="194">
        <v>20</v>
      </c>
      <c r="AZ34" s="194">
        <v>0.77333331108093262</v>
      </c>
      <c r="BA34" s="194">
        <v>0.71215528249740601</v>
      </c>
      <c r="BB34" s="194">
        <v>0.96655958890914917</v>
      </c>
      <c r="BC34" s="194">
        <v>0.80000001192092896</v>
      </c>
      <c r="BD34" s="194">
        <v>20</v>
      </c>
      <c r="BE34" s="194">
        <v>0.83935743570327759</v>
      </c>
      <c r="BF34" s="194"/>
      <c r="BG34" s="194"/>
      <c r="BH34" s="194"/>
      <c r="BI34" s="194"/>
      <c r="BJ34" s="194"/>
      <c r="BK34" s="194"/>
      <c r="BL34" s="194"/>
      <c r="BM34" s="194"/>
      <c r="BN34" s="194"/>
      <c r="BO34" s="194"/>
      <c r="BP34" s="194"/>
      <c r="BQ34" s="194"/>
      <c r="BR34" s="194"/>
      <c r="BS34" s="194"/>
      <c r="BT34" s="194"/>
      <c r="BU34" s="194"/>
    </row>
    <row r="35" spans="1:73" x14ac:dyDescent="0.3">
      <c r="A35" s="193" t="s">
        <v>462</v>
      </c>
      <c r="B35" s="194">
        <v>0.77049177885055542</v>
      </c>
      <c r="C35" s="194">
        <v>0.31682431697845459</v>
      </c>
      <c r="D35" s="194">
        <v>0.70087480545043945</v>
      </c>
      <c r="E35" s="194">
        <v>0.6428571343421936</v>
      </c>
      <c r="F35" s="194">
        <v>14</v>
      </c>
      <c r="G35" s="194">
        <v>0.72972971200942993</v>
      </c>
      <c r="H35" s="194">
        <v>0.33450540900230408</v>
      </c>
      <c r="I35" s="194">
        <v>0.68319368362426758</v>
      </c>
      <c r="J35" s="194">
        <v>0.53846156597137451</v>
      </c>
      <c r="K35" s="194">
        <v>13</v>
      </c>
      <c r="L35" s="194">
        <v>0.55555558204650879</v>
      </c>
      <c r="M35" s="194">
        <v>0.31989693641662598</v>
      </c>
      <c r="N35" s="194">
        <v>0.69780218601226807</v>
      </c>
      <c r="O35" s="194">
        <v>0.5</v>
      </c>
      <c r="P35" s="194">
        <v>22</v>
      </c>
      <c r="Q35" s="194">
        <v>0.64179104566574097</v>
      </c>
      <c r="R35" s="194">
        <v>0.32562410831451416</v>
      </c>
      <c r="S35" s="194">
        <v>0.69207501411437988</v>
      </c>
      <c r="T35" s="194">
        <v>0.8888888955116272</v>
      </c>
      <c r="U35" s="194">
        <v>18</v>
      </c>
      <c r="V35" s="194">
        <v>0.6716417670249939</v>
      </c>
      <c r="W35" s="194">
        <v>0.32562410831451416</v>
      </c>
      <c r="X35" s="194">
        <v>0.69207501411437988</v>
      </c>
      <c r="Y35" s="194">
        <v>0.78571426868438721</v>
      </c>
      <c r="Z35" s="194">
        <v>14</v>
      </c>
      <c r="AA35" s="194">
        <v>0.59756100177764893</v>
      </c>
      <c r="AB35" s="194">
        <v>0.34322822093963623</v>
      </c>
      <c r="AC35" s="194">
        <v>0.67447090148925781</v>
      </c>
      <c r="AD35" s="194">
        <v>0.3928571343421936</v>
      </c>
      <c r="AE35" s="194">
        <v>28</v>
      </c>
      <c r="AF35" s="194">
        <v>0.57317072153091431</v>
      </c>
      <c r="AG35" s="194">
        <v>0.34322822093963623</v>
      </c>
      <c r="AH35" s="194">
        <v>0.67447090148925781</v>
      </c>
      <c r="AI35" s="194">
        <v>0.40909090638160706</v>
      </c>
      <c r="AJ35" s="194">
        <v>22</v>
      </c>
      <c r="AK35" s="194">
        <v>0.45348837971687317</v>
      </c>
      <c r="AL35" s="194">
        <v>0.34712573885917664</v>
      </c>
      <c r="AM35" s="194">
        <v>0.67057341337203979</v>
      </c>
      <c r="AN35" s="194">
        <v>0.36363637447357178</v>
      </c>
      <c r="AO35" s="194">
        <v>22</v>
      </c>
      <c r="AP35" s="194">
        <v>0.43333333730697632</v>
      </c>
      <c r="AQ35" s="194">
        <v>0.35076045989990234</v>
      </c>
      <c r="AR35" s="194">
        <v>0.6669386625289917</v>
      </c>
      <c r="AS35" s="194">
        <v>0.6111111044883728</v>
      </c>
      <c r="AT35" s="194">
        <v>18</v>
      </c>
      <c r="AU35" s="194">
        <v>0.4166666567325592</v>
      </c>
      <c r="AV35" s="194">
        <v>0.34521177411079407</v>
      </c>
      <c r="AW35" s="194">
        <v>0.67248731851577759</v>
      </c>
      <c r="AX35" s="194">
        <v>0.31818181276321411</v>
      </c>
      <c r="AY35" s="194">
        <v>22</v>
      </c>
      <c r="AZ35" s="194">
        <v>0.40740740299224854</v>
      </c>
      <c r="BA35" s="194">
        <v>0.34220901131629944</v>
      </c>
      <c r="BB35" s="194">
        <v>0.67549014091491699</v>
      </c>
      <c r="BC35" s="194">
        <v>0.3684210479259491</v>
      </c>
      <c r="BD35" s="194">
        <v>19</v>
      </c>
      <c r="BE35" s="194">
        <v>0.50884956121444702</v>
      </c>
      <c r="BF35" s="194"/>
      <c r="BG35" s="194"/>
      <c r="BH35" s="194"/>
      <c r="BI35" s="194"/>
      <c r="BJ35" s="194"/>
      <c r="BK35" s="194"/>
      <c r="BL35" s="194"/>
      <c r="BM35" s="194"/>
      <c r="BN35" s="194"/>
      <c r="BO35" s="194"/>
      <c r="BP35" s="194"/>
      <c r="BQ35" s="194"/>
      <c r="BR35" s="194"/>
      <c r="BS35" s="194"/>
      <c r="BT35" s="194"/>
      <c r="BU35" s="194"/>
    </row>
    <row r="36" spans="1:73" x14ac:dyDescent="0.3">
      <c r="A36" s="193" t="s">
        <v>442</v>
      </c>
      <c r="B36" s="194"/>
      <c r="C36" s="194"/>
      <c r="D36" s="194"/>
      <c r="E36" s="194">
        <v>0.92307692766189575</v>
      </c>
      <c r="F36" s="194">
        <v>13</v>
      </c>
      <c r="G36" s="194"/>
      <c r="H36" s="194"/>
      <c r="I36" s="194"/>
      <c r="J36" s="194">
        <v>0.9375</v>
      </c>
      <c r="K36" s="194">
        <v>16</v>
      </c>
      <c r="L36" s="194"/>
      <c r="M36" s="194"/>
      <c r="N36" s="194"/>
      <c r="O36" s="194">
        <v>0.78571426868438721</v>
      </c>
      <c r="P36" s="194">
        <v>14</v>
      </c>
      <c r="Q36" s="194"/>
      <c r="R36" s="194"/>
      <c r="S36" s="194"/>
      <c r="T36" s="194"/>
      <c r="U36" s="194"/>
      <c r="V36" s="194"/>
      <c r="W36" s="194"/>
      <c r="X36" s="194"/>
      <c r="Y36" s="194">
        <v>0.90909093618392944</v>
      </c>
      <c r="Z36" s="194">
        <v>11</v>
      </c>
      <c r="AA36" s="194"/>
      <c r="AB36" s="194"/>
      <c r="AC36" s="194"/>
      <c r="AD36" s="194"/>
      <c r="AE36" s="194"/>
      <c r="AF36" s="194"/>
      <c r="AG36" s="194"/>
      <c r="AH36" s="194"/>
      <c r="AI36" s="194">
        <v>0.84210526943206787</v>
      </c>
      <c r="AJ36" s="194">
        <v>19</v>
      </c>
      <c r="AK36" s="194"/>
      <c r="AL36" s="194"/>
      <c r="AM36" s="194"/>
      <c r="AN36" s="194">
        <v>0.71428573131561279</v>
      </c>
      <c r="AO36" s="194">
        <v>14</v>
      </c>
      <c r="AP36" s="194"/>
      <c r="AQ36" s="194"/>
      <c r="AR36" s="194"/>
      <c r="AS36" s="194">
        <v>0.75</v>
      </c>
      <c r="AT36" s="194">
        <v>12</v>
      </c>
      <c r="AU36" s="194"/>
      <c r="AV36" s="194"/>
      <c r="AW36" s="194"/>
      <c r="AX36" s="194">
        <v>0.5</v>
      </c>
      <c r="AY36" s="194">
        <v>10</v>
      </c>
      <c r="AZ36" s="194"/>
      <c r="BA36" s="194"/>
      <c r="BB36" s="194"/>
      <c r="BC36" s="194"/>
      <c r="BD36" s="194"/>
      <c r="BE36" s="194"/>
      <c r="BF36" s="194"/>
      <c r="BG36" s="194"/>
      <c r="BH36" s="194"/>
      <c r="BI36" s="194"/>
      <c r="BJ36" s="194"/>
      <c r="BK36" s="194"/>
      <c r="BL36" s="194"/>
      <c r="BM36" s="194"/>
      <c r="BN36" s="194"/>
      <c r="BO36" s="194"/>
      <c r="BP36" s="194"/>
      <c r="BQ36" s="194"/>
      <c r="BR36" s="194"/>
      <c r="BS36" s="194"/>
      <c r="BT36" s="194"/>
      <c r="BU36" s="194"/>
    </row>
    <row r="37" spans="1:73" x14ac:dyDescent="0.3">
      <c r="A37" s="193" t="s">
        <v>444</v>
      </c>
      <c r="B37" s="194">
        <v>0.92592591047286987</v>
      </c>
      <c r="C37" s="194">
        <v>0.72733086347579956</v>
      </c>
      <c r="D37" s="194">
        <v>1</v>
      </c>
      <c r="E37" s="194">
        <v>0.875</v>
      </c>
      <c r="F37" s="194">
        <v>24</v>
      </c>
      <c r="G37" s="194">
        <v>0.93939393758773804</v>
      </c>
      <c r="H37" s="194">
        <v>0.74059569835662842</v>
      </c>
      <c r="I37" s="194">
        <v>0.99196243286132813</v>
      </c>
      <c r="J37" s="194">
        <v>1</v>
      </c>
      <c r="K37" s="194">
        <v>12</v>
      </c>
      <c r="L37" s="194">
        <v>0.85294115543365479</v>
      </c>
      <c r="M37" s="194">
        <v>0.74245774745941162</v>
      </c>
      <c r="N37" s="194">
        <v>0.99010038375854492</v>
      </c>
      <c r="O37" s="194">
        <v>0.66666668653488159</v>
      </c>
      <c r="P37" s="194">
        <v>18</v>
      </c>
      <c r="Q37" s="194">
        <v>0.85915493965148926</v>
      </c>
      <c r="R37" s="194">
        <v>0.7451019287109375</v>
      </c>
      <c r="S37" s="194">
        <v>0.98745620250701904</v>
      </c>
      <c r="T37" s="194">
        <v>0.94117647409439087</v>
      </c>
      <c r="U37" s="194">
        <v>17</v>
      </c>
      <c r="V37" s="194">
        <v>0.83333331346511841</v>
      </c>
      <c r="W37" s="194">
        <v>0.74059569835662842</v>
      </c>
      <c r="X37" s="194">
        <v>0.99196243286132813</v>
      </c>
      <c r="Y37" s="194">
        <v>0.78947371244430542</v>
      </c>
      <c r="Z37" s="194">
        <v>19</v>
      </c>
      <c r="AA37" s="194">
        <v>0.81944441795349121</v>
      </c>
      <c r="AB37" s="194">
        <v>0.74594640731811523</v>
      </c>
      <c r="AC37" s="194">
        <v>0.98661172389984131</v>
      </c>
      <c r="AD37" s="194">
        <v>0.8888888955116272</v>
      </c>
      <c r="AE37" s="194">
        <v>18</v>
      </c>
      <c r="AF37" s="194">
        <v>0.87878787517547607</v>
      </c>
      <c r="AG37" s="194">
        <v>0.74059569835662842</v>
      </c>
      <c r="AH37" s="194">
        <v>0.99196243286132813</v>
      </c>
      <c r="AI37" s="194">
        <v>0.91666668653488159</v>
      </c>
      <c r="AJ37" s="194">
        <v>12</v>
      </c>
      <c r="AK37" s="194">
        <v>0.87096774578094482</v>
      </c>
      <c r="AL37" s="194">
        <v>0.73660475015640259</v>
      </c>
      <c r="AM37" s="194">
        <v>0.99595338106155396</v>
      </c>
      <c r="AN37" s="194">
        <v>0.92307692766189575</v>
      </c>
      <c r="AO37" s="194">
        <v>13</v>
      </c>
      <c r="AP37" s="194">
        <v>0.89090907573699951</v>
      </c>
      <c r="AQ37" s="194">
        <v>0.72859978675842285</v>
      </c>
      <c r="AR37" s="194">
        <v>1</v>
      </c>
      <c r="AS37" s="194">
        <v>0.83333331346511841</v>
      </c>
      <c r="AT37" s="194">
        <v>12</v>
      </c>
      <c r="AU37" s="194">
        <v>0.89189189672470093</v>
      </c>
      <c r="AV37" s="194">
        <v>0.69841837882995605</v>
      </c>
      <c r="AW37" s="194">
        <v>1</v>
      </c>
      <c r="AX37" s="194"/>
      <c r="AY37" s="194"/>
      <c r="AZ37" s="194">
        <v>0.86842107772827148</v>
      </c>
      <c r="BA37" s="194">
        <v>0.70064181089401245</v>
      </c>
      <c r="BB37" s="194">
        <v>1</v>
      </c>
      <c r="BC37" s="194">
        <v>0.8461538553237915</v>
      </c>
      <c r="BD37" s="194">
        <v>13</v>
      </c>
      <c r="BE37" s="194">
        <v>0.86627906560897827</v>
      </c>
      <c r="BF37" s="194"/>
      <c r="BG37" s="194"/>
      <c r="BH37" s="194"/>
      <c r="BI37" s="194"/>
      <c r="BJ37" s="194"/>
      <c r="BK37" s="194"/>
      <c r="BL37" s="194"/>
      <c r="BM37" s="194"/>
      <c r="BN37" s="194"/>
      <c r="BO37" s="194"/>
      <c r="BP37" s="194"/>
      <c r="BQ37" s="194"/>
      <c r="BR37" s="194"/>
      <c r="BS37" s="194"/>
      <c r="BT37" s="194"/>
      <c r="BU37" s="194"/>
    </row>
    <row r="38" spans="1:73" x14ac:dyDescent="0.3">
      <c r="A38" s="193" t="s">
        <v>364</v>
      </c>
      <c r="B38" s="194">
        <v>0.69117647409439087</v>
      </c>
      <c r="C38" s="194">
        <v>0.5292544960975647</v>
      </c>
      <c r="D38" s="194">
        <v>0.86378031969070435</v>
      </c>
      <c r="E38" s="194">
        <v>0.71428573131561279</v>
      </c>
      <c r="F38" s="194">
        <v>14</v>
      </c>
      <c r="G38" s="194">
        <v>0.65151512622833252</v>
      </c>
      <c r="H38" s="194">
        <v>0.52673912048339844</v>
      </c>
      <c r="I38" s="194">
        <v>0.86629569530487061</v>
      </c>
      <c r="J38" s="194">
        <v>0.5625</v>
      </c>
      <c r="K38" s="194">
        <v>16</v>
      </c>
      <c r="L38" s="194">
        <v>0.69230771064758301</v>
      </c>
      <c r="M38" s="194">
        <v>0.52543812990188599</v>
      </c>
      <c r="N38" s="194">
        <v>0.86759668588638306</v>
      </c>
      <c r="O38" s="194">
        <v>0.83333331346511841</v>
      </c>
      <c r="P38" s="194">
        <v>12</v>
      </c>
      <c r="Q38" s="194">
        <v>0.6904761791229248</v>
      </c>
      <c r="R38" s="194">
        <v>0.48368903994560242</v>
      </c>
      <c r="S38" s="194">
        <v>0.90934574604034424</v>
      </c>
      <c r="T38" s="194"/>
      <c r="U38" s="194"/>
      <c r="V38" s="194">
        <v>0.72916668653488159</v>
      </c>
      <c r="W38" s="194">
        <v>0.49743470549583435</v>
      </c>
      <c r="X38" s="194">
        <v>0.8956000804901123</v>
      </c>
      <c r="Y38" s="194">
        <v>0.80000001192092896</v>
      </c>
      <c r="Z38" s="194">
        <v>20</v>
      </c>
      <c r="AA38" s="194">
        <v>0.82222223281860352</v>
      </c>
      <c r="AB38" s="194">
        <v>0.49090567231178284</v>
      </c>
      <c r="AC38" s="194">
        <v>0.90212911367416382</v>
      </c>
      <c r="AD38" s="194">
        <v>0.8461538553237915</v>
      </c>
      <c r="AE38" s="194">
        <v>13</v>
      </c>
      <c r="AF38" s="194">
        <v>0.7678571343421936</v>
      </c>
      <c r="AG38" s="194">
        <v>0.51220262050628662</v>
      </c>
      <c r="AH38" s="194">
        <v>0.88083219528198242</v>
      </c>
      <c r="AI38" s="194">
        <v>0.69565218687057495</v>
      </c>
      <c r="AJ38" s="194">
        <v>23</v>
      </c>
      <c r="AK38" s="194">
        <v>0.78873240947723389</v>
      </c>
      <c r="AL38" s="194">
        <v>0.53282636404037476</v>
      </c>
      <c r="AM38" s="194">
        <v>0.86020845174789429</v>
      </c>
      <c r="AN38" s="194">
        <v>0.86666667461395264</v>
      </c>
      <c r="AO38" s="194">
        <v>15</v>
      </c>
      <c r="AP38" s="194">
        <v>0.75714284181594849</v>
      </c>
      <c r="AQ38" s="194">
        <v>0.5316612720489502</v>
      </c>
      <c r="AR38" s="194">
        <v>0.86137354373931885</v>
      </c>
      <c r="AS38" s="194">
        <v>0.68421053886413574</v>
      </c>
      <c r="AT38" s="194">
        <v>19</v>
      </c>
      <c r="AU38" s="194">
        <v>0.67532467842102051</v>
      </c>
      <c r="AV38" s="194">
        <v>0.53933322429656982</v>
      </c>
      <c r="AW38" s="194">
        <v>0.85370159149169922</v>
      </c>
      <c r="AX38" s="194">
        <v>0.5</v>
      </c>
      <c r="AY38" s="194">
        <v>20</v>
      </c>
      <c r="AZ38" s="194">
        <v>0.64999997615814209</v>
      </c>
      <c r="BA38" s="194">
        <v>0.54230862855911255</v>
      </c>
      <c r="BB38" s="194">
        <v>0.85072618722915649</v>
      </c>
      <c r="BC38" s="194">
        <v>0.61538463830947876</v>
      </c>
      <c r="BD38" s="194">
        <v>26</v>
      </c>
      <c r="BE38" s="194">
        <v>0.69651740789413452</v>
      </c>
      <c r="BF38" s="194"/>
      <c r="BG38" s="194"/>
      <c r="BH38" s="194"/>
      <c r="BI38" s="194"/>
      <c r="BJ38" s="194"/>
      <c r="BK38" s="194"/>
      <c r="BL38" s="194"/>
      <c r="BM38" s="194"/>
      <c r="BN38" s="194"/>
      <c r="BO38" s="194"/>
      <c r="BP38" s="194"/>
      <c r="BQ38" s="194"/>
      <c r="BR38" s="194"/>
      <c r="BS38" s="194"/>
      <c r="BT38" s="194"/>
      <c r="BU38" s="194"/>
    </row>
    <row r="39" spans="1:73" x14ac:dyDescent="0.3">
      <c r="A39" s="193" t="s">
        <v>392</v>
      </c>
      <c r="B39" s="194"/>
      <c r="C39" s="194"/>
      <c r="D39" s="194"/>
      <c r="E39" s="194">
        <v>0.8461538553237915</v>
      </c>
      <c r="F39" s="194">
        <v>13</v>
      </c>
      <c r="G39" s="194"/>
      <c r="H39" s="194"/>
      <c r="I39" s="194"/>
      <c r="J39" s="194"/>
      <c r="K39" s="194"/>
      <c r="L39" s="194"/>
      <c r="M39" s="194"/>
      <c r="N39" s="194"/>
      <c r="O39" s="194">
        <v>0.75</v>
      </c>
      <c r="P39" s="194">
        <v>12</v>
      </c>
      <c r="Q39" s="194"/>
      <c r="R39" s="194"/>
      <c r="S39" s="194"/>
      <c r="T39" s="194"/>
      <c r="U39" s="194"/>
      <c r="V39" s="194"/>
      <c r="W39" s="194"/>
      <c r="X39" s="194"/>
      <c r="Y39" s="194">
        <v>0.89999997615814209</v>
      </c>
      <c r="Z39" s="194">
        <v>10</v>
      </c>
      <c r="AA39" s="194"/>
      <c r="AB39" s="194"/>
      <c r="AC39" s="194"/>
      <c r="AD39" s="194"/>
      <c r="AE39" s="194"/>
      <c r="AF39" s="194"/>
      <c r="AG39" s="194"/>
      <c r="AH39" s="194"/>
      <c r="AI39" s="194">
        <v>0.80000001192092896</v>
      </c>
      <c r="AJ39" s="194">
        <v>10</v>
      </c>
      <c r="AK39" s="194"/>
      <c r="AL39" s="194"/>
      <c r="AM39" s="194"/>
      <c r="AN39" s="194"/>
      <c r="AO39" s="194"/>
      <c r="AP39" s="194"/>
      <c r="AQ39" s="194"/>
      <c r="AR39" s="194"/>
      <c r="AS39" s="194">
        <v>0.69230771064758301</v>
      </c>
      <c r="AT39" s="194">
        <v>13</v>
      </c>
      <c r="AU39" s="194"/>
      <c r="AV39" s="194"/>
      <c r="AW39" s="194"/>
      <c r="AX39" s="194"/>
      <c r="AY39" s="194"/>
      <c r="AZ39" s="194"/>
      <c r="BA39" s="194"/>
      <c r="BB39" s="194"/>
      <c r="BC39" s="194">
        <v>0.66666668653488159</v>
      </c>
      <c r="BD39" s="194">
        <v>12</v>
      </c>
      <c r="BE39" s="194"/>
      <c r="BF39" s="194"/>
      <c r="BG39" s="194"/>
      <c r="BH39" s="194"/>
      <c r="BI39" s="194"/>
      <c r="BJ39" s="194"/>
      <c r="BK39" s="194"/>
      <c r="BL39" s="194"/>
      <c r="BM39" s="194"/>
      <c r="BN39" s="194"/>
      <c r="BO39" s="194"/>
      <c r="BP39" s="194"/>
      <c r="BQ39" s="194"/>
      <c r="BR39" s="194"/>
      <c r="BS39" s="194"/>
      <c r="BT39" s="194"/>
      <c r="BU39" s="194"/>
    </row>
    <row r="40" spans="1:73" x14ac:dyDescent="0.3">
      <c r="A40" s="193" t="s">
        <v>478</v>
      </c>
      <c r="B40" s="194">
        <v>0.58928573131561279</v>
      </c>
      <c r="C40" s="194">
        <v>0.59823757410049438</v>
      </c>
      <c r="D40" s="194">
        <v>0.93689757585525513</v>
      </c>
      <c r="E40" s="194">
        <v>0.76470589637756348</v>
      </c>
      <c r="F40" s="194">
        <v>17</v>
      </c>
      <c r="G40" s="194">
        <v>0.66153848171234131</v>
      </c>
      <c r="H40" s="194">
        <v>0.61039698123931885</v>
      </c>
      <c r="I40" s="194">
        <v>0.92473816871643066</v>
      </c>
      <c r="J40" s="194">
        <v>0.75</v>
      </c>
      <c r="K40" s="194">
        <v>20</v>
      </c>
      <c r="L40" s="194">
        <v>0.70769232511520386</v>
      </c>
      <c r="M40" s="194">
        <v>0.61039698123931885</v>
      </c>
      <c r="N40" s="194">
        <v>0.92473816871643066</v>
      </c>
      <c r="O40" s="194">
        <v>0.76923078298568726</v>
      </c>
      <c r="P40" s="194">
        <v>13</v>
      </c>
      <c r="Q40" s="194">
        <v>0.71641790866851807</v>
      </c>
      <c r="R40" s="194">
        <v>0.61276060342788696</v>
      </c>
      <c r="S40" s="194">
        <v>0.92237454652786255</v>
      </c>
      <c r="T40" s="194">
        <v>0.58823531866073608</v>
      </c>
      <c r="U40" s="194">
        <v>17</v>
      </c>
      <c r="V40" s="194">
        <v>0.74193549156188965</v>
      </c>
      <c r="W40" s="194">
        <v>0.60663938522338867</v>
      </c>
      <c r="X40" s="194">
        <v>0.92849576473236084</v>
      </c>
      <c r="Y40" s="194">
        <v>0.91666668653488159</v>
      </c>
      <c r="Z40" s="194">
        <v>12</v>
      </c>
      <c r="AA40" s="194">
        <v>0.73809522390365601</v>
      </c>
      <c r="AB40" s="194">
        <v>0.57204210758209229</v>
      </c>
      <c r="AC40" s="194">
        <v>0.96309304237365723</v>
      </c>
      <c r="AD40" s="194"/>
      <c r="AE40" s="194"/>
      <c r="AF40" s="194">
        <v>0.78846156597137451</v>
      </c>
      <c r="AG40" s="194">
        <v>0.59184551239013672</v>
      </c>
      <c r="AH40" s="194">
        <v>0.94328963756561279</v>
      </c>
      <c r="AI40" s="194">
        <v>0.86956518888473511</v>
      </c>
      <c r="AJ40" s="194">
        <v>23</v>
      </c>
      <c r="AK40" s="194">
        <v>0.85416668653488159</v>
      </c>
      <c r="AL40" s="194">
        <v>0.58467024564743042</v>
      </c>
      <c r="AM40" s="194">
        <v>0.95046490430831909</v>
      </c>
      <c r="AN40" s="194">
        <v>0.76923078298568726</v>
      </c>
      <c r="AO40" s="194">
        <v>13</v>
      </c>
      <c r="AP40" s="194">
        <v>0.77083331346511841</v>
      </c>
      <c r="AQ40" s="194">
        <v>0.58467024564743042</v>
      </c>
      <c r="AR40" s="194">
        <v>0.95046490430831909</v>
      </c>
      <c r="AS40" s="194">
        <v>0.58333331346511841</v>
      </c>
      <c r="AT40" s="194">
        <v>12</v>
      </c>
      <c r="AU40" s="194">
        <v>0.83561640977859497</v>
      </c>
      <c r="AV40" s="194">
        <v>0.61925894021987915</v>
      </c>
      <c r="AW40" s="194">
        <v>0.91587620973587036</v>
      </c>
      <c r="AX40" s="194">
        <v>0.95999997854232788</v>
      </c>
      <c r="AY40" s="194">
        <v>25</v>
      </c>
      <c r="AZ40" s="194">
        <v>0.80882352590560913</v>
      </c>
      <c r="BA40" s="194">
        <v>0.61390310525894165</v>
      </c>
      <c r="BB40" s="194">
        <v>0.92123204469680786</v>
      </c>
      <c r="BC40" s="194">
        <v>0.77777779102325439</v>
      </c>
      <c r="BD40" s="194">
        <v>18</v>
      </c>
      <c r="BE40" s="194">
        <v>0.76756757497787476</v>
      </c>
      <c r="BF40" s="194"/>
      <c r="BG40" s="194"/>
      <c r="BH40" s="194"/>
      <c r="BI40" s="194"/>
      <c r="BJ40" s="194"/>
      <c r="BK40" s="194"/>
      <c r="BL40" s="194"/>
      <c r="BM40" s="194"/>
      <c r="BN40" s="194"/>
      <c r="BO40" s="194"/>
      <c r="BP40" s="194"/>
      <c r="BQ40" s="194"/>
      <c r="BR40" s="194"/>
      <c r="BS40" s="194"/>
      <c r="BT40" s="194"/>
      <c r="BU40" s="194"/>
    </row>
    <row r="41" spans="1:73" x14ac:dyDescent="0.3">
      <c r="A41" s="193" t="s">
        <v>532</v>
      </c>
      <c r="B41" s="194">
        <v>0.65789473056793213</v>
      </c>
      <c r="C41" s="194">
        <v>0.42632642388343811</v>
      </c>
      <c r="D41" s="194">
        <v>0.76414972543716431</v>
      </c>
      <c r="E41" s="194">
        <v>0.40909090638160706</v>
      </c>
      <c r="F41" s="194">
        <v>22</v>
      </c>
      <c r="G41" s="194">
        <v>0.64516127109527588</v>
      </c>
      <c r="H41" s="194">
        <v>0.44254302978515625</v>
      </c>
      <c r="I41" s="194">
        <v>0.74793314933776855</v>
      </c>
      <c r="J41" s="194">
        <v>0.58823531866073608</v>
      </c>
      <c r="K41" s="194">
        <v>17</v>
      </c>
      <c r="L41" s="194">
        <v>0.59550559520721436</v>
      </c>
      <c r="M41" s="194">
        <v>0.439149409532547</v>
      </c>
      <c r="N41" s="194">
        <v>0.7513267993927002</v>
      </c>
      <c r="O41" s="194">
        <v>0.65625</v>
      </c>
      <c r="P41" s="194">
        <v>32</v>
      </c>
      <c r="Q41" s="194">
        <v>0.55421686172485352</v>
      </c>
      <c r="R41" s="194">
        <v>0.43360608816146851</v>
      </c>
      <c r="S41" s="194">
        <v>0.7568700909614563</v>
      </c>
      <c r="T41" s="194">
        <v>0.5</v>
      </c>
      <c r="U41" s="194">
        <v>12</v>
      </c>
      <c r="V41" s="194">
        <v>0.6388888955116272</v>
      </c>
      <c r="W41" s="194">
        <v>0.42169785499572754</v>
      </c>
      <c r="X41" s="194">
        <v>0.76877832412719727</v>
      </c>
      <c r="Y41" s="194">
        <v>0.81818181276321411</v>
      </c>
      <c r="Z41" s="194">
        <v>11</v>
      </c>
      <c r="AA41" s="194">
        <v>0.69863015413284302</v>
      </c>
      <c r="AB41" s="194">
        <v>0.42289057374000549</v>
      </c>
      <c r="AC41" s="194">
        <v>0.76758557558059692</v>
      </c>
      <c r="AD41" s="194">
        <v>0.83333331346511841</v>
      </c>
      <c r="AE41" s="194">
        <v>18</v>
      </c>
      <c r="AF41" s="194">
        <v>0.64999997615814209</v>
      </c>
      <c r="AG41" s="194">
        <v>0.40513429045677185</v>
      </c>
      <c r="AH41" s="194">
        <v>0.78534191846847534</v>
      </c>
      <c r="AI41" s="194">
        <v>0.47368422150611877</v>
      </c>
      <c r="AJ41" s="194">
        <v>19</v>
      </c>
      <c r="AK41" s="194">
        <v>0.70689654350280762</v>
      </c>
      <c r="AL41" s="194">
        <v>0.40188440680503845</v>
      </c>
      <c r="AM41" s="194">
        <v>0.78859174251556396</v>
      </c>
      <c r="AN41" s="194">
        <v>0.80000001192092896</v>
      </c>
      <c r="AO41" s="194">
        <v>10</v>
      </c>
      <c r="AP41" s="194">
        <v>0.6808510422706604</v>
      </c>
      <c r="AQ41" s="194">
        <v>0.38044637441635132</v>
      </c>
      <c r="AR41" s="194">
        <v>0.81002980470657349</v>
      </c>
      <c r="AS41" s="194"/>
      <c r="AT41" s="194"/>
      <c r="AU41" s="194">
        <v>0.52542370557785034</v>
      </c>
      <c r="AV41" s="194">
        <v>0.40353000164031982</v>
      </c>
      <c r="AW41" s="194">
        <v>0.78694617748260498</v>
      </c>
      <c r="AX41" s="194">
        <v>0.46666666865348816</v>
      </c>
      <c r="AY41" s="194">
        <v>30</v>
      </c>
      <c r="AZ41" s="194">
        <v>0.54098361730575562</v>
      </c>
      <c r="BA41" s="194">
        <v>0.40669894218444824</v>
      </c>
      <c r="BB41" s="194">
        <v>0.78377723693847656</v>
      </c>
      <c r="BC41" s="194">
        <v>0.52380955219268799</v>
      </c>
      <c r="BD41" s="194">
        <v>21</v>
      </c>
      <c r="BE41" s="194">
        <v>0.5952380895614624</v>
      </c>
      <c r="BF41" s="194"/>
      <c r="BG41" s="194"/>
      <c r="BH41" s="194"/>
      <c r="BI41" s="194"/>
      <c r="BJ41" s="194"/>
      <c r="BK41" s="194"/>
      <c r="BL41" s="194"/>
      <c r="BM41" s="194"/>
      <c r="BN41" s="194"/>
      <c r="BO41" s="194"/>
      <c r="BP41" s="194"/>
      <c r="BQ41" s="194"/>
      <c r="BR41" s="194"/>
      <c r="BS41" s="194"/>
      <c r="BT41" s="194"/>
      <c r="BU41" s="194"/>
    </row>
    <row r="42" spans="1:73" x14ac:dyDescent="0.3">
      <c r="A42" s="193" t="s">
        <v>429</v>
      </c>
      <c r="B42" s="194">
        <v>0.74074071645736694</v>
      </c>
      <c r="C42" s="194">
        <v>0.3515455424785614</v>
      </c>
      <c r="D42" s="194">
        <v>0.75736534595489502</v>
      </c>
      <c r="E42" s="194">
        <v>0.8125</v>
      </c>
      <c r="F42" s="194">
        <v>16</v>
      </c>
      <c r="G42" s="194">
        <v>0.72131145000457764</v>
      </c>
      <c r="H42" s="194">
        <v>0.3635425865650177</v>
      </c>
      <c r="I42" s="194">
        <v>0.7453683614730835</v>
      </c>
      <c r="J42" s="194">
        <v>0.77777779102325439</v>
      </c>
      <c r="K42" s="194">
        <v>18</v>
      </c>
      <c r="L42" s="194">
        <v>0.7761194109916687</v>
      </c>
      <c r="M42" s="194">
        <v>0.37229138612747192</v>
      </c>
      <c r="N42" s="194">
        <v>0.73661953210830688</v>
      </c>
      <c r="O42" s="194">
        <v>0.78947371244430542</v>
      </c>
      <c r="P42" s="194">
        <v>19</v>
      </c>
      <c r="Q42" s="194">
        <v>0.76923078298568726</v>
      </c>
      <c r="R42" s="194">
        <v>0.36951008439064026</v>
      </c>
      <c r="S42" s="194">
        <v>0.73940080404281616</v>
      </c>
      <c r="T42" s="194">
        <v>0.66666668653488159</v>
      </c>
      <c r="U42" s="194">
        <v>12</v>
      </c>
      <c r="V42" s="194">
        <v>0.71875</v>
      </c>
      <c r="W42" s="194">
        <v>0.3680708110332489</v>
      </c>
      <c r="X42" s="194">
        <v>0.74084013700485229</v>
      </c>
      <c r="Y42" s="194">
        <v>0.60000002384185791</v>
      </c>
      <c r="Z42" s="194">
        <v>15</v>
      </c>
      <c r="AA42" s="194">
        <v>0.60000002384185791</v>
      </c>
      <c r="AB42" s="194">
        <v>0.36951008439064026</v>
      </c>
      <c r="AC42" s="194">
        <v>0.73940080404281616</v>
      </c>
      <c r="AD42" s="194">
        <v>0.3684210479259491</v>
      </c>
      <c r="AE42" s="194">
        <v>19</v>
      </c>
      <c r="AF42" s="194">
        <v>0.52380955219268799</v>
      </c>
      <c r="AG42" s="194">
        <v>0.36659738421440125</v>
      </c>
      <c r="AH42" s="194">
        <v>0.74231356382369995</v>
      </c>
      <c r="AI42" s="194">
        <v>0.52941179275512695</v>
      </c>
      <c r="AJ42" s="194">
        <v>17</v>
      </c>
      <c r="AK42" s="194">
        <v>0.44615384936332703</v>
      </c>
      <c r="AL42" s="194">
        <v>0.36951008439064026</v>
      </c>
      <c r="AM42" s="194">
        <v>0.73940080404281616</v>
      </c>
      <c r="AN42" s="194">
        <v>0.28571429848670959</v>
      </c>
      <c r="AO42" s="194">
        <v>14</v>
      </c>
      <c r="AP42" s="194">
        <v>0.36708861589431763</v>
      </c>
      <c r="AQ42" s="194">
        <v>0.38669615983963013</v>
      </c>
      <c r="AR42" s="194">
        <v>0.72221475839614868</v>
      </c>
      <c r="AS42" s="194">
        <v>0.31034481525421143</v>
      </c>
      <c r="AT42" s="194">
        <v>29</v>
      </c>
      <c r="AU42" s="194">
        <v>0.37837839126586914</v>
      </c>
      <c r="AV42" s="194">
        <v>0.38112124800682068</v>
      </c>
      <c r="AW42" s="194">
        <v>0.72778970003128052</v>
      </c>
      <c r="AX42" s="194">
        <v>0.4285714328289032</v>
      </c>
      <c r="AY42" s="194">
        <v>14</v>
      </c>
      <c r="AZ42" s="194">
        <v>0.375</v>
      </c>
      <c r="BA42" s="194">
        <v>0.37873032689094543</v>
      </c>
      <c r="BB42" s="194">
        <v>0.73018062114715576</v>
      </c>
      <c r="BC42" s="194">
        <v>0.53333336114883423</v>
      </c>
      <c r="BD42" s="194">
        <v>15</v>
      </c>
      <c r="BE42" s="194">
        <v>0.5544554591178894</v>
      </c>
      <c r="BF42" s="194"/>
      <c r="BG42" s="194"/>
      <c r="BH42" s="194"/>
      <c r="BI42" s="194"/>
      <c r="BJ42" s="194"/>
      <c r="BK42" s="194"/>
      <c r="BL42" s="194"/>
      <c r="BM42" s="194"/>
      <c r="BN42" s="194"/>
      <c r="BO42" s="194"/>
      <c r="BP42" s="194"/>
      <c r="BQ42" s="194"/>
      <c r="BR42" s="194"/>
      <c r="BS42" s="194"/>
      <c r="BT42" s="194"/>
      <c r="BU42" s="194"/>
    </row>
    <row r="43" spans="1:73" x14ac:dyDescent="0.3">
      <c r="A43" s="193" t="s">
        <v>384</v>
      </c>
      <c r="B43" s="194">
        <v>0.76811593770980835</v>
      </c>
      <c r="C43" s="194">
        <v>0.72982901334762573</v>
      </c>
      <c r="D43" s="194">
        <v>0.9830896258354187</v>
      </c>
      <c r="E43" s="194">
        <v>0.84210526943206787</v>
      </c>
      <c r="F43" s="194">
        <v>19</v>
      </c>
      <c r="G43" s="194">
        <v>0.77499997615814209</v>
      </c>
      <c r="H43" s="194">
        <v>0.73885667324066162</v>
      </c>
      <c r="I43" s="194">
        <v>0.97406196594238281</v>
      </c>
      <c r="J43" s="194">
        <v>0.8461538553237915</v>
      </c>
      <c r="K43" s="194">
        <v>26</v>
      </c>
      <c r="L43" s="194">
        <v>0.85542166233062744</v>
      </c>
      <c r="M43" s="194">
        <v>0.74100154638290405</v>
      </c>
      <c r="N43" s="194">
        <v>0.97191709280014038</v>
      </c>
      <c r="O43" s="194">
        <v>0.91304349899291992</v>
      </c>
      <c r="P43" s="194">
        <v>23</v>
      </c>
      <c r="Q43" s="194">
        <v>0.87209302186965942</v>
      </c>
      <c r="R43" s="194">
        <v>0.74303323030471802</v>
      </c>
      <c r="S43" s="194">
        <v>0.96988540887832642</v>
      </c>
      <c r="T43" s="194">
        <v>0.8888888955116272</v>
      </c>
      <c r="U43" s="194">
        <v>18</v>
      </c>
      <c r="V43" s="194">
        <v>0.8928571343421936</v>
      </c>
      <c r="W43" s="194">
        <v>0.74169087409973145</v>
      </c>
      <c r="X43" s="194">
        <v>0.97122776508331299</v>
      </c>
      <c r="Y43" s="194">
        <v>0.94117647409439087</v>
      </c>
      <c r="Z43" s="194">
        <v>17</v>
      </c>
      <c r="AA43" s="194">
        <v>0.89610391855239868</v>
      </c>
      <c r="AB43" s="194">
        <v>0.73658758401870728</v>
      </c>
      <c r="AC43" s="194">
        <v>0.97633105516433716</v>
      </c>
      <c r="AD43" s="194">
        <v>0.84210526943206787</v>
      </c>
      <c r="AE43" s="194">
        <v>19</v>
      </c>
      <c r="AF43" s="194">
        <v>0.83561640977859497</v>
      </c>
      <c r="AG43" s="194">
        <v>0.73334723711013794</v>
      </c>
      <c r="AH43" s="194">
        <v>0.97957140207290649</v>
      </c>
      <c r="AI43" s="194">
        <v>0.68421053886413574</v>
      </c>
      <c r="AJ43" s="194">
        <v>19</v>
      </c>
      <c r="AK43" s="194">
        <v>0.81333333253860474</v>
      </c>
      <c r="AL43" s="194">
        <v>0.73499983549118042</v>
      </c>
      <c r="AM43" s="194">
        <v>0.97791880369186401</v>
      </c>
      <c r="AN43" s="194">
        <v>0.80000001192092896</v>
      </c>
      <c r="AO43" s="194">
        <v>20</v>
      </c>
      <c r="AP43" s="194">
        <v>0.80555558204650879</v>
      </c>
      <c r="AQ43" s="194">
        <v>0.73249524831771851</v>
      </c>
      <c r="AR43" s="194">
        <v>0.98042339086532593</v>
      </c>
      <c r="AS43" s="194">
        <v>0.92857140302658081</v>
      </c>
      <c r="AT43" s="194">
        <v>14</v>
      </c>
      <c r="AU43" s="194">
        <v>0.83333331346511841</v>
      </c>
      <c r="AV43" s="194">
        <v>0.73249524831771851</v>
      </c>
      <c r="AW43" s="194">
        <v>0.98042339086532593</v>
      </c>
      <c r="AX43" s="194">
        <v>0.94736844301223755</v>
      </c>
      <c r="AY43" s="194">
        <v>19</v>
      </c>
      <c r="AZ43" s="194">
        <v>0.88679248094558716</v>
      </c>
      <c r="BA43" s="194">
        <v>0.71197384595870972</v>
      </c>
      <c r="BB43" s="194">
        <v>1</v>
      </c>
      <c r="BC43" s="194"/>
      <c r="BD43" s="194"/>
      <c r="BE43" s="194">
        <v>0.85645931959152222</v>
      </c>
      <c r="BF43" s="194"/>
      <c r="BG43" s="194"/>
      <c r="BH43" s="194"/>
      <c r="BI43" s="194"/>
      <c r="BJ43" s="194"/>
      <c r="BK43" s="194"/>
      <c r="BL43" s="194"/>
      <c r="BM43" s="194"/>
      <c r="BN43" s="194"/>
      <c r="BO43" s="194"/>
      <c r="BP43" s="194"/>
      <c r="BQ43" s="194"/>
      <c r="BR43" s="194"/>
      <c r="BS43" s="194"/>
      <c r="BT43" s="194"/>
      <c r="BU43" s="194"/>
    </row>
    <row r="44" spans="1:73" x14ac:dyDescent="0.3">
      <c r="A44" s="193" t="s">
        <v>439</v>
      </c>
      <c r="B44" s="194">
        <v>0.78481012582778931</v>
      </c>
      <c r="C44" s="194">
        <v>0.65162014961242676</v>
      </c>
      <c r="D44" s="194">
        <v>0.92692387104034424</v>
      </c>
      <c r="E44" s="194">
        <v>0.9047619104385376</v>
      </c>
      <c r="F44" s="194">
        <v>21</v>
      </c>
      <c r="G44" s="194">
        <v>0.80555558204650879</v>
      </c>
      <c r="H44" s="194">
        <v>0.64508390426635742</v>
      </c>
      <c r="I44" s="194">
        <v>0.93346011638641357</v>
      </c>
      <c r="J44" s="194">
        <v>0.88235294818878174</v>
      </c>
      <c r="K44" s="194">
        <v>17</v>
      </c>
      <c r="L44" s="194">
        <v>0.86419755220413208</v>
      </c>
      <c r="M44" s="194">
        <v>0.65333014726638794</v>
      </c>
      <c r="N44" s="194">
        <v>0.92521387338638306</v>
      </c>
      <c r="O44" s="194">
        <v>0.92592591047286987</v>
      </c>
      <c r="P44" s="194">
        <v>27</v>
      </c>
      <c r="Q44" s="194">
        <v>0.85365855693817139</v>
      </c>
      <c r="R44" s="194">
        <v>0.65416163206100464</v>
      </c>
      <c r="S44" s="194">
        <v>0.92438238859176636</v>
      </c>
      <c r="T44" s="194">
        <v>0.64705884456634521</v>
      </c>
      <c r="U44" s="194">
        <v>17</v>
      </c>
      <c r="V44" s="194">
        <v>0.86075949668884277</v>
      </c>
      <c r="W44" s="194">
        <v>0.65162014961242676</v>
      </c>
      <c r="X44" s="194">
        <v>0.92692387104034424</v>
      </c>
      <c r="Y44" s="194">
        <v>0.94444441795349121</v>
      </c>
      <c r="Z44" s="194">
        <v>18</v>
      </c>
      <c r="AA44" s="194">
        <v>0.83695650100708008</v>
      </c>
      <c r="AB44" s="194">
        <v>0.66171574592590332</v>
      </c>
      <c r="AC44" s="194">
        <v>0.91682827472686768</v>
      </c>
      <c r="AD44" s="194">
        <v>0.80000001192092896</v>
      </c>
      <c r="AE44" s="194">
        <v>30</v>
      </c>
      <c r="AF44" s="194">
        <v>0.79569894075393677</v>
      </c>
      <c r="AG44" s="194">
        <v>0.662403404712677</v>
      </c>
      <c r="AH44" s="194">
        <v>0.91614061594009399</v>
      </c>
      <c r="AI44" s="194">
        <v>0.78571426868438721</v>
      </c>
      <c r="AJ44" s="194">
        <v>28</v>
      </c>
      <c r="AK44" s="194">
        <v>0.82999998331069946</v>
      </c>
      <c r="AL44" s="194">
        <v>0.66692435741424561</v>
      </c>
      <c r="AM44" s="194">
        <v>0.91161966323852539</v>
      </c>
      <c r="AN44" s="194">
        <v>0.83333331346511841</v>
      </c>
      <c r="AO44" s="194">
        <v>24</v>
      </c>
      <c r="AP44" s="194">
        <v>0.80000001192092896</v>
      </c>
      <c r="AQ44" s="194">
        <v>0.66692435741424561</v>
      </c>
      <c r="AR44" s="194">
        <v>0.91161966323852539</v>
      </c>
      <c r="AS44" s="194">
        <v>0.77777779102325439</v>
      </c>
      <c r="AT44" s="194">
        <v>18</v>
      </c>
      <c r="AU44" s="194">
        <v>0.75280898809432983</v>
      </c>
      <c r="AV44" s="194">
        <v>0.65958374738693237</v>
      </c>
      <c r="AW44" s="194">
        <v>0.91896027326583862</v>
      </c>
      <c r="AX44" s="194">
        <v>0.57894736528396606</v>
      </c>
      <c r="AY44" s="194">
        <v>19</v>
      </c>
      <c r="AZ44" s="194">
        <v>0.71264368295669556</v>
      </c>
      <c r="BA44" s="194">
        <v>0.65810155868530273</v>
      </c>
      <c r="BB44" s="194">
        <v>0.92044246196746826</v>
      </c>
      <c r="BC44" s="194">
        <v>0.6538461446762085</v>
      </c>
      <c r="BD44" s="194">
        <v>26</v>
      </c>
      <c r="BE44" s="194">
        <v>0.7892720103263855</v>
      </c>
      <c r="BF44" s="194"/>
      <c r="BG44" s="194"/>
      <c r="BH44" s="194"/>
      <c r="BI44" s="194"/>
      <c r="BJ44" s="194"/>
      <c r="BK44" s="194"/>
      <c r="BL44" s="194"/>
      <c r="BM44" s="194"/>
      <c r="BN44" s="194"/>
      <c r="BO44" s="194"/>
      <c r="BP44" s="194"/>
      <c r="BQ44" s="194"/>
      <c r="BR44" s="194"/>
      <c r="BS44" s="194"/>
      <c r="BT44" s="194"/>
      <c r="BU44" s="194"/>
    </row>
    <row r="45" spans="1:73" x14ac:dyDescent="0.3">
      <c r="A45" s="193" t="s">
        <v>522</v>
      </c>
      <c r="B45" s="194"/>
      <c r="C45" s="194"/>
      <c r="D45" s="194"/>
      <c r="E45" s="194"/>
      <c r="F45" s="194"/>
      <c r="G45" s="194"/>
      <c r="H45" s="194"/>
      <c r="I45" s="194"/>
      <c r="J45" s="194">
        <v>0.69230771064758301</v>
      </c>
      <c r="K45" s="194">
        <v>13</v>
      </c>
      <c r="L45" s="194"/>
      <c r="M45" s="194"/>
      <c r="N45" s="194"/>
      <c r="O45" s="194">
        <v>0.72727274894714355</v>
      </c>
      <c r="P45" s="194">
        <v>11</v>
      </c>
      <c r="Q45" s="194"/>
      <c r="R45" s="194"/>
      <c r="S45" s="194"/>
      <c r="T45" s="194">
        <v>0.66666668653488159</v>
      </c>
      <c r="U45" s="194">
        <v>12</v>
      </c>
      <c r="V45" s="194"/>
      <c r="W45" s="194"/>
      <c r="X45" s="194"/>
      <c r="Y45" s="194"/>
      <c r="Z45" s="194"/>
      <c r="AA45" s="194"/>
      <c r="AB45" s="194"/>
      <c r="AC45" s="194"/>
      <c r="AD45" s="194">
        <v>0.5</v>
      </c>
      <c r="AE45" s="194">
        <v>14</v>
      </c>
      <c r="AF45" s="194"/>
      <c r="AG45" s="194"/>
      <c r="AH45" s="194"/>
      <c r="AI45" s="194">
        <v>0.76923078298568726</v>
      </c>
      <c r="AJ45" s="194">
        <v>13</v>
      </c>
      <c r="AK45" s="194"/>
      <c r="AL45" s="194"/>
      <c r="AM45" s="194"/>
      <c r="AN45" s="194">
        <v>0.8461538553237915</v>
      </c>
      <c r="AO45" s="194">
        <v>13</v>
      </c>
      <c r="AP45" s="194"/>
      <c r="AQ45" s="194"/>
      <c r="AR45" s="194"/>
      <c r="AS45" s="194"/>
      <c r="AT45" s="194"/>
      <c r="AU45" s="194"/>
      <c r="AV45" s="194"/>
      <c r="AW45" s="194"/>
      <c r="AX45" s="194">
        <v>0.75</v>
      </c>
      <c r="AY45" s="194">
        <v>12</v>
      </c>
      <c r="AZ45" s="194"/>
      <c r="BA45" s="194"/>
      <c r="BB45" s="194"/>
      <c r="BC45" s="194">
        <v>0.80000001192092896</v>
      </c>
      <c r="BD45" s="194">
        <v>10</v>
      </c>
      <c r="BE45" s="194"/>
      <c r="BF45" s="194"/>
      <c r="BG45" s="194"/>
      <c r="BH45" s="194"/>
      <c r="BI45" s="194"/>
      <c r="BJ45" s="194"/>
      <c r="BK45" s="194"/>
      <c r="BL45" s="194"/>
      <c r="BM45" s="194"/>
      <c r="BN45" s="194"/>
      <c r="BO45" s="194"/>
      <c r="BP45" s="194"/>
      <c r="BQ45" s="194"/>
      <c r="BR45" s="194"/>
      <c r="BS45" s="194"/>
      <c r="BT45" s="194"/>
      <c r="BU45" s="194"/>
    </row>
    <row r="46" spans="1:73" x14ac:dyDescent="0.3">
      <c r="A46" s="193" t="s">
        <v>506</v>
      </c>
      <c r="B46" s="194">
        <v>0.42105263471603394</v>
      </c>
      <c r="C46" s="194">
        <v>0.16741636395454407</v>
      </c>
      <c r="D46" s="194">
        <v>0.64548683166503906</v>
      </c>
      <c r="E46" s="194">
        <v>0.51999998092651367</v>
      </c>
      <c r="F46" s="194">
        <v>25</v>
      </c>
      <c r="G46" s="194">
        <v>0.40000000596046448</v>
      </c>
      <c r="H46" s="194">
        <v>0.20776326954364777</v>
      </c>
      <c r="I46" s="194">
        <v>0.60513997077941895</v>
      </c>
      <c r="J46" s="194">
        <v>0.35294118523597717</v>
      </c>
      <c r="K46" s="194">
        <v>17</v>
      </c>
      <c r="L46" s="194">
        <v>0.41071429848670959</v>
      </c>
      <c r="M46" s="194">
        <v>0.20954525470733643</v>
      </c>
      <c r="N46" s="194">
        <v>0.60335797071456909</v>
      </c>
      <c r="O46" s="194">
        <v>0.28571429848670959</v>
      </c>
      <c r="P46" s="194">
        <v>14</v>
      </c>
      <c r="Q46" s="194">
        <v>0.35897436738014221</v>
      </c>
      <c r="R46" s="194">
        <v>0.23960921168327332</v>
      </c>
      <c r="S46" s="194">
        <v>0.57329404354095459</v>
      </c>
      <c r="T46" s="194">
        <v>0.22727273404598236</v>
      </c>
      <c r="U46" s="194">
        <v>22</v>
      </c>
      <c r="V46" s="194">
        <v>0.30769231915473938</v>
      </c>
      <c r="W46" s="194">
        <v>0.22368490695953369</v>
      </c>
      <c r="X46" s="194">
        <v>0.58921831846237183</v>
      </c>
      <c r="Y46" s="194">
        <v>0.4166666567325592</v>
      </c>
      <c r="Z46" s="194">
        <v>12</v>
      </c>
      <c r="AA46" s="194">
        <v>0.27868852019309998</v>
      </c>
      <c r="AB46" s="194">
        <v>0.21778769791126251</v>
      </c>
      <c r="AC46" s="194">
        <v>0.5951155424118042</v>
      </c>
      <c r="AD46" s="194">
        <v>0.23076923191547394</v>
      </c>
      <c r="AE46" s="194">
        <v>13</v>
      </c>
      <c r="AF46" s="194">
        <v>0.3333333432674408</v>
      </c>
      <c r="AG46" s="194">
        <v>0.21622200310230255</v>
      </c>
      <c r="AH46" s="194">
        <v>0.59668123722076416</v>
      </c>
      <c r="AI46" s="194">
        <v>0.53846156597137451</v>
      </c>
      <c r="AJ46" s="194">
        <v>13</v>
      </c>
      <c r="AK46" s="194">
        <v>0.4716981053352356</v>
      </c>
      <c r="AL46" s="194">
        <v>0.20404914021492004</v>
      </c>
      <c r="AM46" s="194">
        <v>0.60885405540466309</v>
      </c>
      <c r="AN46" s="194">
        <v>0.66666668653488159</v>
      </c>
      <c r="AO46" s="194">
        <v>15</v>
      </c>
      <c r="AP46" s="194">
        <v>0.45454546809196472</v>
      </c>
      <c r="AQ46" s="194">
        <v>0.20776326954364777</v>
      </c>
      <c r="AR46" s="194">
        <v>0.60513997077941895</v>
      </c>
      <c r="AS46" s="194">
        <v>0.3571428656578064</v>
      </c>
      <c r="AT46" s="194">
        <v>14</v>
      </c>
      <c r="AU46" s="194">
        <v>0.51923078298568726</v>
      </c>
      <c r="AV46" s="194">
        <v>0.20211222767829895</v>
      </c>
      <c r="AW46" s="194">
        <v>0.61079096794128418</v>
      </c>
      <c r="AX46" s="194">
        <v>0.5</v>
      </c>
      <c r="AY46" s="194">
        <v>10</v>
      </c>
      <c r="AZ46" s="194">
        <v>0.5128205418586731</v>
      </c>
      <c r="BA46" s="194">
        <v>0.17050081491470337</v>
      </c>
      <c r="BB46" s="194">
        <v>0.64240241050720215</v>
      </c>
      <c r="BC46" s="194"/>
      <c r="BD46" s="194"/>
      <c r="BE46" s="194">
        <v>0.40645161271095276</v>
      </c>
      <c r="BF46" s="194"/>
      <c r="BG46" s="194"/>
      <c r="BH46" s="194"/>
      <c r="BI46" s="194"/>
      <c r="BJ46" s="194"/>
      <c r="BK46" s="194"/>
      <c r="BL46" s="194"/>
      <c r="BM46" s="194"/>
      <c r="BN46" s="194"/>
      <c r="BO46" s="194"/>
      <c r="BP46" s="194"/>
      <c r="BQ46" s="194"/>
      <c r="BR46" s="194"/>
      <c r="BS46" s="194"/>
      <c r="BT46" s="194"/>
      <c r="BU46" s="194"/>
    </row>
    <row r="47" spans="1:73" x14ac:dyDescent="0.3">
      <c r="A47" s="193" t="s">
        <v>414</v>
      </c>
      <c r="B47" s="194">
        <v>0.75806450843811035</v>
      </c>
      <c r="C47" s="194">
        <v>0.46876999735832214</v>
      </c>
      <c r="D47" s="194">
        <v>0.83211499452590942</v>
      </c>
      <c r="E47" s="194">
        <v>0.68181818723678589</v>
      </c>
      <c r="F47" s="194">
        <v>22</v>
      </c>
      <c r="G47" s="194">
        <v>0.75342464447021484</v>
      </c>
      <c r="H47" s="194">
        <v>0.48301622271537781</v>
      </c>
      <c r="I47" s="194">
        <v>0.81786876916885376</v>
      </c>
      <c r="J47" s="194">
        <v>0.72727274894714355</v>
      </c>
      <c r="K47" s="194">
        <v>11</v>
      </c>
      <c r="L47" s="194">
        <v>0.73333334922790527</v>
      </c>
      <c r="M47" s="194">
        <v>0.4852636456489563</v>
      </c>
      <c r="N47" s="194">
        <v>0.81562131643295288</v>
      </c>
      <c r="O47" s="194">
        <v>0.68965518474578857</v>
      </c>
      <c r="P47" s="194">
        <v>29</v>
      </c>
      <c r="Q47" s="194">
        <v>0.69230771064758301</v>
      </c>
      <c r="R47" s="194">
        <v>0.50048631429672241</v>
      </c>
      <c r="S47" s="194">
        <v>0.80039864778518677</v>
      </c>
      <c r="T47" s="194">
        <v>0.68965518474578857</v>
      </c>
      <c r="U47" s="194">
        <v>29</v>
      </c>
      <c r="V47" s="194">
        <v>0.67045456171035767</v>
      </c>
      <c r="W47" s="194">
        <v>0.49795165657997131</v>
      </c>
      <c r="X47" s="194">
        <v>0.80293327569961548</v>
      </c>
      <c r="Y47" s="194">
        <v>0.57894736528396606</v>
      </c>
      <c r="Z47" s="194">
        <v>19</v>
      </c>
      <c r="AA47" s="194">
        <v>0.68041235208511353</v>
      </c>
      <c r="AB47" s="194">
        <v>0.50519818067550659</v>
      </c>
      <c r="AC47" s="194">
        <v>0.79568678140640259</v>
      </c>
      <c r="AD47" s="194">
        <v>0.75</v>
      </c>
      <c r="AE47" s="194">
        <v>20</v>
      </c>
      <c r="AF47" s="194">
        <v>0.70370370149612427</v>
      </c>
      <c r="AG47" s="194">
        <v>0.49149906635284424</v>
      </c>
      <c r="AH47" s="194">
        <v>0.80938589572906494</v>
      </c>
      <c r="AI47" s="194">
        <v>0.8461538553237915</v>
      </c>
      <c r="AJ47" s="194">
        <v>13</v>
      </c>
      <c r="AK47" s="194">
        <v>0.62162160873413086</v>
      </c>
      <c r="AL47" s="194">
        <v>0.48415133357048035</v>
      </c>
      <c r="AM47" s="194">
        <v>0.81673365831375122</v>
      </c>
      <c r="AN47" s="194">
        <v>0.40909090638160706</v>
      </c>
      <c r="AO47" s="194">
        <v>22</v>
      </c>
      <c r="AP47" s="194">
        <v>0.63636362552642822</v>
      </c>
      <c r="AQ47" s="194">
        <v>0.4575551450252533</v>
      </c>
      <c r="AR47" s="194">
        <v>0.8433297872543335</v>
      </c>
      <c r="AS47" s="194"/>
      <c r="AT47" s="194"/>
      <c r="AU47" s="194">
        <v>0.54794520139694214</v>
      </c>
      <c r="AV47" s="194">
        <v>0.48301622271537781</v>
      </c>
      <c r="AW47" s="194">
        <v>0.81786876916885376</v>
      </c>
      <c r="AX47" s="194">
        <v>0.52631580829620361</v>
      </c>
      <c r="AY47" s="194">
        <v>38</v>
      </c>
      <c r="AZ47" s="194">
        <v>0.5</v>
      </c>
      <c r="BA47" s="194">
        <v>0.47946614027023315</v>
      </c>
      <c r="BB47" s="194">
        <v>0.82141882181167603</v>
      </c>
      <c r="BC47" s="194">
        <v>0.60000002384185791</v>
      </c>
      <c r="BD47" s="194">
        <v>10</v>
      </c>
      <c r="BE47" s="194">
        <v>0.65044248104095459</v>
      </c>
      <c r="BF47" s="194"/>
      <c r="BG47" s="194"/>
      <c r="BH47" s="194"/>
      <c r="BI47" s="194"/>
      <c r="BJ47" s="194"/>
      <c r="BK47" s="194"/>
      <c r="BL47" s="194"/>
      <c r="BM47" s="194"/>
      <c r="BN47" s="194"/>
      <c r="BO47" s="194"/>
      <c r="BP47" s="194"/>
      <c r="BQ47" s="194"/>
      <c r="BR47" s="194"/>
      <c r="BS47" s="194"/>
      <c r="BT47" s="194"/>
      <c r="BU47" s="194"/>
    </row>
    <row r="48" spans="1:73" x14ac:dyDescent="0.3">
      <c r="A48" s="193" t="s">
        <v>456</v>
      </c>
      <c r="B48" s="194">
        <v>0.79629629850387573</v>
      </c>
      <c r="C48" s="194">
        <v>0.80357140302658081</v>
      </c>
      <c r="D48" s="194">
        <v>0.9821428656578064</v>
      </c>
      <c r="E48" s="194">
        <v>0.83333331346511841</v>
      </c>
      <c r="F48" s="194">
        <v>30</v>
      </c>
      <c r="G48" s="194">
        <v>0.82608693838119507</v>
      </c>
      <c r="H48" s="194">
        <v>0.80633145570755005</v>
      </c>
      <c r="I48" s="194">
        <v>0.97938281297683716</v>
      </c>
      <c r="J48" s="194">
        <v>0.91304349899291992</v>
      </c>
      <c r="K48" s="194">
        <v>23</v>
      </c>
      <c r="L48" s="194">
        <v>0.87179487943649292</v>
      </c>
      <c r="M48" s="194">
        <v>0.80707418918609619</v>
      </c>
      <c r="N48" s="194">
        <v>0.97864007949829102</v>
      </c>
      <c r="O48" s="194">
        <v>0.92592591047286987</v>
      </c>
      <c r="P48" s="194">
        <v>27</v>
      </c>
      <c r="Q48" s="194">
        <v>0.90721648931503296</v>
      </c>
      <c r="R48" s="194">
        <v>0.79864472150802612</v>
      </c>
      <c r="S48" s="194">
        <v>0.98706954717636108</v>
      </c>
      <c r="T48" s="194">
        <v>1</v>
      </c>
      <c r="U48" s="194">
        <v>17</v>
      </c>
      <c r="V48" s="194">
        <v>0.89795917272567749</v>
      </c>
      <c r="W48" s="194">
        <v>0.79912668466567993</v>
      </c>
      <c r="X48" s="194">
        <v>0.98658758401870728</v>
      </c>
      <c r="Y48" s="194">
        <v>0.80645161867141724</v>
      </c>
      <c r="Z48" s="194">
        <v>31</v>
      </c>
      <c r="AA48" s="194">
        <v>0.89423078298568726</v>
      </c>
      <c r="AB48" s="194">
        <v>0.80187058448791504</v>
      </c>
      <c r="AC48" s="194">
        <v>0.98384368419647217</v>
      </c>
      <c r="AD48" s="194">
        <v>0.89655172824859619</v>
      </c>
      <c r="AE48" s="194">
        <v>29</v>
      </c>
      <c r="AF48" s="194">
        <v>0.88181817531585693</v>
      </c>
      <c r="AG48" s="194">
        <v>0.80438685417175293</v>
      </c>
      <c r="AH48" s="194">
        <v>0.98132741451263428</v>
      </c>
      <c r="AI48" s="194">
        <v>0.87878787517547607</v>
      </c>
      <c r="AJ48" s="194">
        <v>33</v>
      </c>
      <c r="AK48" s="194">
        <v>0.88059699535369873</v>
      </c>
      <c r="AL48" s="194">
        <v>0.81270015239715576</v>
      </c>
      <c r="AM48" s="194">
        <v>0.97301411628723145</v>
      </c>
      <c r="AN48" s="194">
        <v>0.92682927846908569</v>
      </c>
      <c r="AO48" s="194">
        <v>41</v>
      </c>
      <c r="AP48" s="194">
        <v>0.8888888955116272</v>
      </c>
      <c r="AQ48" s="194">
        <v>0.81299757957458496</v>
      </c>
      <c r="AR48" s="194">
        <v>0.97271668910980225</v>
      </c>
      <c r="AS48" s="194">
        <v>0.84375</v>
      </c>
      <c r="AT48" s="194">
        <v>32</v>
      </c>
      <c r="AU48" s="194">
        <v>0.91044777631759644</v>
      </c>
      <c r="AV48" s="194">
        <v>0.81270015239715576</v>
      </c>
      <c r="AW48" s="194">
        <v>0.97301411628723145</v>
      </c>
      <c r="AX48" s="194">
        <v>1</v>
      </c>
      <c r="AY48" s="194">
        <v>28</v>
      </c>
      <c r="AZ48" s="194">
        <v>0.9197080135345459</v>
      </c>
      <c r="BA48" s="194">
        <v>0.81358259916305542</v>
      </c>
      <c r="BB48" s="194">
        <v>0.97213166952133179</v>
      </c>
      <c r="BC48" s="194">
        <v>0.91666668653488159</v>
      </c>
      <c r="BD48" s="194">
        <v>36</v>
      </c>
      <c r="BE48" s="194">
        <v>0.8928571343421936</v>
      </c>
      <c r="BF48" s="194"/>
      <c r="BG48" s="194"/>
      <c r="BH48" s="194"/>
      <c r="BI48" s="194"/>
      <c r="BJ48" s="194"/>
      <c r="BK48" s="194"/>
      <c r="BL48" s="194"/>
      <c r="BM48" s="194"/>
      <c r="BN48" s="194"/>
      <c r="BO48" s="194"/>
      <c r="BP48" s="194"/>
      <c r="BQ48" s="194"/>
      <c r="BR48" s="194"/>
      <c r="BS48" s="194"/>
      <c r="BT48" s="194"/>
      <c r="BU48" s="194"/>
    </row>
    <row r="49" spans="1:61" x14ac:dyDescent="0.3">
      <c r="A49" s="193" t="s">
        <v>367</v>
      </c>
      <c r="B49" s="194">
        <v>0.82352942228317261</v>
      </c>
      <c r="C49" s="194">
        <v>0.59355819225311279</v>
      </c>
      <c r="D49" s="194">
        <v>0.94698238372802734</v>
      </c>
      <c r="E49" s="194">
        <v>0.8461538553237915</v>
      </c>
      <c r="F49" s="194">
        <v>13</v>
      </c>
      <c r="G49" s="194">
        <v>0.86206895112991333</v>
      </c>
      <c r="H49" s="194">
        <v>0.6045646071434021</v>
      </c>
      <c r="I49" s="194">
        <v>0.93597596883773804</v>
      </c>
      <c r="J49" s="194">
        <v>0.94444441795349121</v>
      </c>
      <c r="K49" s="194">
        <v>18</v>
      </c>
      <c r="L49" s="194">
        <v>0.85245901346206665</v>
      </c>
      <c r="M49" s="194">
        <v>0.60869067907333374</v>
      </c>
      <c r="N49" s="194">
        <v>0.9318498969078064</v>
      </c>
      <c r="O49" s="194">
        <v>0.8125</v>
      </c>
      <c r="P49" s="194">
        <v>16</v>
      </c>
      <c r="Q49" s="194">
        <v>0.8571428656578064</v>
      </c>
      <c r="R49" s="194">
        <v>0.61127614974975586</v>
      </c>
      <c r="S49" s="194">
        <v>0.92926442623138428</v>
      </c>
      <c r="T49" s="194">
        <v>0.8125</v>
      </c>
      <c r="U49" s="194">
        <v>16</v>
      </c>
      <c r="V49" s="194">
        <v>0.8571428656578064</v>
      </c>
      <c r="W49" s="194">
        <v>0.61127614974975586</v>
      </c>
      <c r="X49" s="194">
        <v>0.92926442623138428</v>
      </c>
      <c r="Y49" s="194">
        <v>0.8461538553237915</v>
      </c>
      <c r="Z49" s="194">
        <v>13</v>
      </c>
      <c r="AA49" s="194">
        <v>0.75757575035095215</v>
      </c>
      <c r="AB49" s="194">
        <v>0.61493164300918579</v>
      </c>
      <c r="AC49" s="194">
        <v>0.92560893297195435</v>
      </c>
      <c r="AD49" s="194">
        <v>0.61904764175415039</v>
      </c>
      <c r="AE49" s="194">
        <v>21</v>
      </c>
      <c r="AF49" s="194">
        <v>0.73972600698471069</v>
      </c>
      <c r="AG49" s="194">
        <v>0.62256705760955811</v>
      </c>
      <c r="AH49" s="194">
        <v>0.91797351837158203</v>
      </c>
      <c r="AI49" s="194">
        <v>0.73913043737411499</v>
      </c>
      <c r="AJ49" s="194">
        <v>23</v>
      </c>
      <c r="AK49" s="194">
        <v>0.7532467246055603</v>
      </c>
      <c r="AL49" s="194">
        <v>0.62645465135574341</v>
      </c>
      <c r="AM49" s="194">
        <v>0.91408592462539673</v>
      </c>
      <c r="AN49" s="194">
        <v>0.85000002384185791</v>
      </c>
      <c r="AO49" s="194">
        <v>20</v>
      </c>
      <c r="AP49" s="194">
        <v>0.73333334922790527</v>
      </c>
      <c r="AQ49" s="194">
        <v>0.63724625110626221</v>
      </c>
      <c r="AR49" s="194">
        <v>0.90329432487487793</v>
      </c>
      <c r="AS49" s="194">
        <v>0.73076921701431274</v>
      </c>
      <c r="AT49" s="194">
        <v>26</v>
      </c>
      <c r="AU49" s="194">
        <v>0.76744186878204346</v>
      </c>
      <c r="AV49" s="194">
        <v>0.63418781757354736</v>
      </c>
      <c r="AW49" s="194">
        <v>0.90635275840759277</v>
      </c>
      <c r="AX49" s="194">
        <v>0.76470589637756348</v>
      </c>
      <c r="AY49" s="194">
        <v>17</v>
      </c>
      <c r="AZ49" s="194">
        <v>0.73863637447357178</v>
      </c>
      <c r="BA49" s="194">
        <v>0.63574308156967163</v>
      </c>
      <c r="BB49" s="194">
        <v>0.90479749441146851</v>
      </c>
      <c r="BC49" s="194">
        <v>0.63999998569488525</v>
      </c>
      <c r="BD49" s="194">
        <v>25</v>
      </c>
      <c r="BE49" s="194">
        <v>0.77027028799057007</v>
      </c>
      <c r="BF49" s="55"/>
      <c r="BG49" s="55"/>
      <c r="BH49" s="55"/>
      <c r="BI49" s="55"/>
    </row>
    <row r="50" spans="1:61" x14ac:dyDescent="0.3">
      <c r="A50" s="193" t="s">
        <v>327</v>
      </c>
      <c r="B50" s="194">
        <v>1</v>
      </c>
      <c r="C50" s="194">
        <v>0.75841957330703735</v>
      </c>
      <c r="D50" s="194">
        <v>1</v>
      </c>
      <c r="E50" s="194"/>
      <c r="F50" s="194"/>
      <c r="G50" s="194">
        <v>0.91666668653488159</v>
      </c>
      <c r="H50" s="194">
        <v>0.79498016834259033</v>
      </c>
      <c r="I50" s="194">
        <v>1</v>
      </c>
      <c r="J50" s="194">
        <v>0.78571426868438721</v>
      </c>
      <c r="K50" s="194">
        <v>14</v>
      </c>
      <c r="L50" s="194">
        <v>0.875</v>
      </c>
      <c r="M50" s="194">
        <v>0.76555079221725464</v>
      </c>
      <c r="N50" s="194">
        <v>1</v>
      </c>
      <c r="O50" s="194">
        <v>1</v>
      </c>
      <c r="P50" s="194">
        <v>10</v>
      </c>
      <c r="Q50" s="194">
        <v>0.875</v>
      </c>
      <c r="R50" s="194">
        <v>0.76555079221725464</v>
      </c>
      <c r="S50" s="194">
        <v>1</v>
      </c>
      <c r="T50" s="194"/>
      <c r="U50" s="194"/>
      <c r="V50" s="194">
        <v>0.92682927846908569</v>
      </c>
      <c r="W50" s="194">
        <v>0.80322420597076416</v>
      </c>
      <c r="X50" s="194">
        <v>1</v>
      </c>
      <c r="Y50" s="194">
        <v>1</v>
      </c>
      <c r="Z50" s="194">
        <v>17</v>
      </c>
      <c r="AA50" s="194">
        <v>0.94594591856002808</v>
      </c>
      <c r="AB50" s="194">
        <v>0.79676187038421631</v>
      </c>
      <c r="AC50" s="194">
        <v>1</v>
      </c>
      <c r="AD50" s="194">
        <v>0.80000001192092896</v>
      </c>
      <c r="AE50" s="194">
        <v>10</v>
      </c>
      <c r="AF50" s="194">
        <v>0.92105263471603394</v>
      </c>
      <c r="AG50" s="194">
        <v>0.79847270250320435</v>
      </c>
      <c r="AH50" s="194">
        <v>1</v>
      </c>
      <c r="AI50" s="194">
        <v>0.90909093618392944</v>
      </c>
      <c r="AJ50" s="194">
        <v>11</v>
      </c>
      <c r="AK50" s="194">
        <v>0.93877553939819336</v>
      </c>
      <c r="AL50" s="194">
        <v>0.81368672847747803</v>
      </c>
      <c r="AM50" s="194">
        <v>1</v>
      </c>
      <c r="AN50" s="194">
        <v>1</v>
      </c>
      <c r="AO50" s="194">
        <v>11</v>
      </c>
      <c r="AP50" s="194">
        <v>0.9375</v>
      </c>
      <c r="AQ50" s="194">
        <v>0.81252360343933105</v>
      </c>
      <c r="AR50" s="194">
        <v>1</v>
      </c>
      <c r="AS50" s="194">
        <v>1</v>
      </c>
      <c r="AT50" s="194">
        <v>16</v>
      </c>
      <c r="AU50" s="194">
        <v>0.97368419170379639</v>
      </c>
      <c r="AV50" s="194">
        <v>0.79847270250320435</v>
      </c>
      <c r="AW50" s="194">
        <v>1</v>
      </c>
      <c r="AX50" s="194"/>
      <c r="AY50" s="194"/>
      <c r="AZ50" s="194">
        <v>0.95652174949645996</v>
      </c>
      <c r="BA50" s="194">
        <v>0.81008458137512207</v>
      </c>
      <c r="BB50" s="194">
        <v>1</v>
      </c>
      <c r="BC50" s="194">
        <v>0.89473682641983032</v>
      </c>
      <c r="BD50" s="194">
        <v>19</v>
      </c>
      <c r="BE50" s="194">
        <v>0.92592591047286987</v>
      </c>
      <c r="BF50" s="55"/>
      <c r="BG50" s="55"/>
      <c r="BH50" s="55"/>
      <c r="BI50" s="55"/>
    </row>
    <row r="51" spans="1:61" x14ac:dyDescent="0.3">
      <c r="A51" s="193" t="s">
        <v>492</v>
      </c>
      <c r="B51" s="194">
        <v>0.65714287757873535</v>
      </c>
      <c r="C51" s="194">
        <v>0.33645758032798767</v>
      </c>
      <c r="D51" s="194">
        <v>0.83595621585845947</v>
      </c>
      <c r="E51" s="194">
        <v>0.60000002384185791</v>
      </c>
      <c r="F51" s="194">
        <v>10</v>
      </c>
      <c r="G51" s="194">
        <v>0.65714287757873535</v>
      </c>
      <c r="H51" s="194">
        <v>0.33645758032798767</v>
      </c>
      <c r="I51" s="194">
        <v>0.83595621585845947</v>
      </c>
      <c r="J51" s="194"/>
      <c r="K51" s="194"/>
      <c r="L51" s="194">
        <v>0.59459459781646729</v>
      </c>
      <c r="M51" s="194">
        <v>0.34330135583877563</v>
      </c>
      <c r="N51" s="194">
        <v>0.8291124701499939</v>
      </c>
      <c r="O51" s="194">
        <v>0.4375</v>
      </c>
      <c r="P51" s="194">
        <v>16</v>
      </c>
      <c r="Q51" s="194">
        <v>0.52272725105285645</v>
      </c>
      <c r="R51" s="194">
        <v>0.36345985531806946</v>
      </c>
      <c r="S51" s="194">
        <v>0.80895400047302246</v>
      </c>
      <c r="T51" s="194">
        <v>0.55555558204650879</v>
      </c>
      <c r="U51" s="194">
        <v>18</v>
      </c>
      <c r="V51" s="194">
        <v>0.44230768084526062</v>
      </c>
      <c r="W51" s="194">
        <v>0.38130941987037659</v>
      </c>
      <c r="X51" s="194">
        <v>0.79110443592071533</v>
      </c>
      <c r="Y51" s="194">
        <v>0.3333333432674408</v>
      </c>
      <c r="Z51" s="194">
        <v>18</v>
      </c>
      <c r="AA51" s="194">
        <v>0.46268656849861145</v>
      </c>
      <c r="AB51" s="194">
        <v>0.4056970477104187</v>
      </c>
      <c r="AC51" s="194">
        <v>0.76671677827835083</v>
      </c>
      <c r="AD51" s="194">
        <v>0.53333336114883423</v>
      </c>
      <c r="AE51" s="194">
        <v>15</v>
      </c>
      <c r="AF51" s="194">
        <v>0.578125</v>
      </c>
      <c r="AG51" s="194">
        <v>0.40151479840278625</v>
      </c>
      <c r="AH51" s="194">
        <v>0.77089899778366089</v>
      </c>
      <c r="AI51" s="194">
        <v>1</v>
      </c>
      <c r="AJ51" s="194">
        <v>13</v>
      </c>
      <c r="AK51" s="194">
        <v>0.58695650100708008</v>
      </c>
      <c r="AL51" s="194">
        <v>0.36835598945617676</v>
      </c>
      <c r="AM51" s="194">
        <v>0.80405783653259277</v>
      </c>
      <c r="AN51" s="194"/>
      <c r="AO51" s="194"/>
      <c r="AP51" s="194">
        <v>0.77083331346511841</v>
      </c>
      <c r="AQ51" s="194">
        <v>0.37294283509254456</v>
      </c>
      <c r="AR51" s="194">
        <v>0.79947102069854736</v>
      </c>
      <c r="AS51" s="194">
        <v>0.80000001192092896</v>
      </c>
      <c r="AT51" s="194">
        <v>20</v>
      </c>
      <c r="AU51" s="194">
        <v>0.73333334922790527</v>
      </c>
      <c r="AV51" s="194">
        <v>0.36594870686531067</v>
      </c>
      <c r="AW51" s="194">
        <v>0.80646508932113647</v>
      </c>
      <c r="AX51" s="194">
        <v>0.3333333432674408</v>
      </c>
      <c r="AY51" s="194">
        <v>12</v>
      </c>
      <c r="AZ51" s="194">
        <v>0.59090906381607056</v>
      </c>
      <c r="BA51" s="194">
        <v>0.36345985531806946</v>
      </c>
      <c r="BB51" s="194">
        <v>0.80895400047302246</v>
      </c>
      <c r="BC51" s="194">
        <v>0.5</v>
      </c>
      <c r="BD51" s="194">
        <v>12</v>
      </c>
      <c r="BE51" s="194">
        <v>0.58620691299438477</v>
      </c>
      <c r="BF51" s="55"/>
      <c r="BG51" s="55"/>
      <c r="BH51" s="55"/>
      <c r="BI51" s="55"/>
    </row>
    <row r="52" spans="1:61" x14ac:dyDescent="0.3">
      <c r="A52" s="193" t="s">
        <v>418</v>
      </c>
      <c r="B52" s="194"/>
      <c r="C52" s="194"/>
      <c r="D52" s="194"/>
      <c r="E52" s="194">
        <v>0.75</v>
      </c>
      <c r="F52" s="194">
        <v>12</v>
      </c>
      <c r="G52" s="194"/>
      <c r="H52" s="194"/>
      <c r="I52" s="194"/>
      <c r="J52" s="194"/>
      <c r="K52" s="194"/>
      <c r="L52" s="194"/>
      <c r="M52" s="194"/>
      <c r="N52" s="194"/>
      <c r="O52" s="194">
        <v>1</v>
      </c>
      <c r="P52" s="194">
        <v>13</v>
      </c>
      <c r="Q52" s="194"/>
      <c r="R52" s="194"/>
      <c r="S52" s="194"/>
      <c r="T52" s="194"/>
      <c r="U52" s="194"/>
      <c r="V52" s="194"/>
      <c r="W52" s="194"/>
      <c r="X52" s="194"/>
      <c r="Y52" s="194">
        <v>0.54545456171035767</v>
      </c>
      <c r="Z52" s="194">
        <v>11</v>
      </c>
      <c r="AA52" s="194"/>
      <c r="AB52" s="194"/>
      <c r="AC52" s="194"/>
      <c r="AD52" s="194"/>
      <c r="AE52" s="194"/>
      <c r="AF52" s="194"/>
      <c r="AG52" s="194"/>
      <c r="AH52" s="194"/>
      <c r="AI52" s="194">
        <v>0.76923078298568726</v>
      </c>
      <c r="AJ52" s="194">
        <v>13</v>
      </c>
      <c r="AK52" s="194"/>
      <c r="AL52" s="194"/>
      <c r="AM52" s="194"/>
      <c r="AN52" s="194">
        <v>0.60000002384185791</v>
      </c>
      <c r="AO52" s="194">
        <v>10</v>
      </c>
      <c r="AP52" s="194"/>
      <c r="AQ52" s="194"/>
      <c r="AR52" s="194"/>
      <c r="AS52" s="194"/>
      <c r="AT52" s="194"/>
      <c r="AU52" s="194"/>
      <c r="AV52" s="194"/>
      <c r="AW52" s="194"/>
      <c r="AX52" s="194">
        <v>0.25</v>
      </c>
      <c r="AY52" s="194">
        <v>12</v>
      </c>
      <c r="AZ52" s="194"/>
      <c r="BA52" s="194"/>
      <c r="BB52" s="194"/>
      <c r="BC52" s="194"/>
      <c r="BD52" s="194"/>
      <c r="BE52" s="194"/>
      <c r="BF52" s="55"/>
      <c r="BG52" s="55"/>
      <c r="BH52" s="55"/>
      <c r="BI52" s="55"/>
    </row>
    <row r="53" spans="1:61" x14ac:dyDescent="0.3">
      <c r="A53" s="193" t="s">
        <v>427</v>
      </c>
      <c r="B53" s="194"/>
      <c r="C53" s="194"/>
      <c r="D53" s="194"/>
      <c r="E53" s="194">
        <v>0.72727274894714355</v>
      </c>
      <c r="F53" s="194">
        <v>11</v>
      </c>
      <c r="G53" s="194"/>
      <c r="H53" s="194"/>
      <c r="I53" s="194"/>
      <c r="J53" s="194">
        <v>0.66666668653488159</v>
      </c>
      <c r="K53" s="194">
        <v>12</v>
      </c>
      <c r="L53" s="194"/>
      <c r="M53" s="194"/>
      <c r="N53" s="194"/>
      <c r="O53" s="194"/>
      <c r="P53" s="194"/>
      <c r="Q53" s="194"/>
      <c r="R53" s="194"/>
      <c r="S53" s="194"/>
      <c r="T53" s="194">
        <v>0.64999997615814209</v>
      </c>
      <c r="U53" s="194">
        <v>20</v>
      </c>
      <c r="V53" s="194"/>
      <c r="W53" s="194"/>
      <c r="X53" s="194"/>
      <c r="Y53" s="194"/>
      <c r="Z53" s="194"/>
      <c r="AA53" s="194"/>
      <c r="AB53" s="194"/>
      <c r="AC53" s="194"/>
      <c r="AD53" s="194">
        <v>0.70588237047195435</v>
      </c>
      <c r="AE53" s="194">
        <v>17</v>
      </c>
      <c r="AF53" s="194"/>
      <c r="AG53" s="194"/>
      <c r="AH53" s="194"/>
      <c r="AI53" s="194"/>
      <c r="AJ53" s="194"/>
      <c r="AK53" s="194"/>
      <c r="AL53" s="194"/>
      <c r="AM53" s="194"/>
      <c r="AN53" s="194">
        <v>0.69230771064758301</v>
      </c>
      <c r="AO53" s="194">
        <v>13</v>
      </c>
      <c r="AP53" s="194"/>
      <c r="AQ53" s="194"/>
      <c r="AR53" s="194"/>
      <c r="AS53" s="194"/>
      <c r="AT53" s="194"/>
      <c r="AU53" s="194"/>
      <c r="AV53" s="194"/>
      <c r="AW53" s="194"/>
      <c r="AX53" s="194">
        <v>0.71428573131561279</v>
      </c>
      <c r="AY53" s="194">
        <v>14</v>
      </c>
      <c r="AZ53" s="194"/>
      <c r="BA53" s="194"/>
      <c r="BB53" s="194"/>
      <c r="BC53" s="194">
        <v>0.6428571343421936</v>
      </c>
      <c r="BD53" s="194">
        <v>14</v>
      </c>
      <c r="BE53" s="194"/>
      <c r="BF53" s="55"/>
      <c r="BG53" s="55"/>
      <c r="BH53" s="55"/>
      <c r="BI53" s="55"/>
    </row>
    <row r="54" spans="1:61" x14ac:dyDescent="0.3">
      <c r="A54" s="193" t="s">
        <v>458</v>
      </c>
      <c r="B54" s="194"/>
      <c r="C54" s="194"/>
      <c r="D54" s="194"/>
      <c r="E54" s="194">
        <v>0.75</v>
      </c>
      <c r="F54" s="194">
        <v>12</v>
      </c>
      <c r="G54" s="194"/>
      <c r="H54" s="194"/>
      <c r="I54" s="194"/>
      <c r="J54" s="194"/>
      <c r="K54" s="194"/>
      <c r="L54" s="194"/>
      <c r="M54" s="194"/>
      <c r="N54" s="194"/>
      <c r="O54" s="194"/>
      <c r="P54" s="194"/>
      <c r="Q54" s="194"/>
      <c r="R54" s="194"/>
      <c r="S54" s="194"/>
      <c r="T54" s="194"/>
      <c r="U54" s="194"/>
      <c r="V54" s="194"/>
      <c r="W54" s="194"/>
      <c r="X54" s="194"/>
      <c r="Y54" s="194">
        <v>0.78571426868438721</v>
      </c>
      <c r="Z54" s="194">
        <v>14</v>
      </c>
      <c r="AA54" s="194"/>
      <c r="AB54" s="194"/>
      <c r="AC54" s="194"/>
      <c r="AD54" s="194"/>
      <c r="AE54" s="194"/>
      <c r="AF54" s="194"/>
      <c r="AG54" s="194"/>
      <c r="AH54" s="194"/>
      <c r="AI54" s="194">
        <v>0.91666668653488159</v>
      </c>
      <c r="AJ54" s="194">
        <v>12</v>
      </c>
      <c r="AK54" s="194"/>
      <c r="AL54" s="194"/>
      <c r="AM54" s="194"/>
      <c r="AN54" s="194"/>
      <c r="AO54" s="194"/>
      <c r="AP54" s="194"/>
      <c r="AQ54" s="194"/>
      <c r="AR54" s="194"/>
      <c r="AS54" s="194">
        <v>0.76470589637756348</v>
      </c>
      <c r="AT54" s="194">
        <v>17</v>
      </c>
      <c r="AU54" s="194"/>
      <c r="AV54" s="194"/>
      <c r="AW54" s="194"/>
      <c r="AX54" s="194"/>
      <c r="AY54" s="194"/>
      <c r="AZ54" s="194"/>
      <c r="BA54" s="194"/>
      <c r="BB54" s="194"/>
      <c r="BC54" s="194">
        <v>0.71428573131561279</v>
      </c>
      <c r="BD54" s="194">
        <v>14</v>
      </c>
      <c r="BE54" s="194"/>
      <c r="BF54" s="55"/>
      <c r="BG54" s="55"/>
      <c r="BH54" s="55"/>
      <c r="BI54" s="55"/>
    </row>
    <row r="55" spans="1:61" x14ac:dyDescent="0.3">
      <c r="A55" s="193" t="s">
        <v>330</v>
      </c>
      <c r="B55" s="194">
        <v>0.85000002384185791</v>
      </c>
      <c r="C55" s="194">
        <v>0.63982588052749634</v>
      </c>
      <c r="D55" s="194">
        <v>0.95201081037521362</v>
      </c>
      <c r="E55" s="194">
        <v>0.84210526943206787</v>
      </c>
      <c r="F55" s="194">
        <v>19</v>
      </c>
      <c r="G55" s="194">
        <v>0.83333331346511841</v>
      </c>
      <c r="H55" s="194">
        <v>0.64709001779556274</v>
      </c>
      <c r="I55" s="194">
        <v>0.94474667310714722</v>
      </c>
      <c r="J55" s="194">
        <v>0.70588237047195435</v>
      </c>
      <c r="K55" s="194">
        <v>17</v>
      </c>
      <c r="L55" s="194">
        <v>0.85135138034820557</v>
      </c>
      <c r="M55" s="194">
        <v>0.65536487102508545</v>
      </c>
      <c r="N55" s="194">
        <v>0.93647181987762451</v>
      </c>
      <c r="O55" s="194">
        <v>0.9523809552192688</v>
      </c>
      <c r="P55" s="194">
        <v>21</v>
      </c>
      <c r="Q55" s="194">
        <v>0.87323945760726929</v>
      </c>
      <c r="R55" s="194">
        <v>0.65242612361907959</v>
      </c>
      <c r="S55" s="194">
        <v>0.93941056728363037</v>
      </c>
      <c r="T55" s="194">
        <v>1</v>
      </c>
      <c r="U55" s="194">
        <v>14</v>
      </c>
      <c r="V55" s="194">
        <v>0.87096774578094482</v>
      </c>
      <c r="W55" s="194">
        <v>0.64236414432525635</v>
      </c>
      <c r="X55" s="194">
        <v>0.94947254657745361</v>
      </c>
      <c r="Y55" s="194">
        <v>0.80000001192092896</v>
      </c>
      <c r="Z55" s="194">
        <v>10</v>
      </c>
      <c r="AA55" s="194">
        <v>0.91935485601425171</v>
      </c>
      <c r="AB55" s="194">
        <v>0.64236414432525635</v>
      </c>
      <c r="AC55" s="194">
        <v>0.94947254657745361</v>
      </c>
      <c r="AD55" s="194">
        <v>0.88235294818878174</v>
      </c>
      <c r="AE55" s="194">
        <v>17</v>
      </c>
      <c r="AF55" s="194">
        <v>0.85185188055038452</v>
      </c>
      <c r="AG55" s="194">
        <v>0.63138246536254883</v>
      </c>
      <c r="AH55" s="194">
        <v>0.96045422554016113</v>
      </c>
      <c r="AI55" s="194">
        <v>0.69230771064758301</v>
      </c>
      <c r="AJ55" s="194">
        <v>13</v>
      </c>
      <c r="AK55" s="194">
        <v>0.75925928354263306</v>
      </c>
      <c r="AL55" s="194">
        <v>0.63138246536254883</v>
      </c>
      <c r="AM55" s="194">
        <v>0.96045422554016113</v>
      </c>
      <c r="AN55" s="194">
        <v>0.6428571343421936</v>
      </c>
      <c r="AO55" s="194">
        <v>14</v>
      </c>
      <c r="AP55" s="194">
        <v>0.72131145000457764</v>
      </c>
      <c r="AQ55" s="194">
        <v>0.64111065864562988</v>
      </c>
      <c r="AR55" s="194">
        <v>0.95072603225708008</v>
      </c>
      <c r="AS55" s="194">
        <v>0.64705884456634521</v>
      </c>
      <c r="AT55" s="194">
        <v>17</v>
      </c>
      <c r="AU55" s="194">
        <v>0.64516127109527588</v>
      </c>
      <c r="AV55" s="194">
        <v>0.64236414432525635</v>
      </c>
      <c r="AW55" s="194">
        <v>0.94947254657745361</v>
      </c>
      <c r="AX55" s="194">
        <v>0.6111111044883728</v>
      </c>
      <c r="AY55" s="194">
        <v>18</v>
      </c>
      <c r="AZ55" s="194">
        <v>0.69117647409439087</v>
      </c>
      <c r="BA55" s="194">
        <v>0.64929503202438354</v>
      </c>
      <c r="BB55" s="194">
        <v>0.94254165887832642</v>
      </c>
      <c r="BC55" s="194">
        <v>0.84210526943206787</v>
      </c>
      <c r="BD55" s="194">
        <v>19</v>
      </c>
      <c r="BE55" s="194">
        <v>0.79591834545135498</v>
      </c>
      <c r="BF55" s="55"/>
      <c r="BG55" s="55"/>
      <c r="BH55" s="55"/>
      <c r="BI55" s="55"/>
    </row>
    <row r="56" spans="1:61" x14ac:dyDescent="0.3">
      <c r="A56" s="193" t="s">
        <v>404</v>
      </c>
      <c r="B56" s="194">
        <v>0.9375</v>
      </c>
      <c r="C56" s="194">
        <v>0.66611307859420776</v>
      </c>
      <c r="D56" s="194">
        <v>1</v>
      </c>
      <c r="E56" s="194"/>
      <c r="F56" s="194"/>
      <c r="G56" s="194">
        <v>0.8461538553237915</v>
      </c>
      <c r="H56" s="194">
        <v>0.71555894613265991</v>
      </c>
      <c r="I56" s="194">
        <v>1</v>
      </c>
      <c r="J56" s="194">
        <v>0.69999998807907104</v>
      </c>
      <c r="K56" s="194">
        <v>10</v>
      </c>
      <c r="L56" s="194">
        <v>0.72727274894714355</v>
      </c>
      <c r="M56" s="194">
        <v>0.69988149404525757</v>
      </c>
      <c r="N56" s="194">
        <v>1</v>
      </c>
      <c r="O56" s="194">
        <v>0.75</v>
      </c>
      <c r="P56" s="194">
        <v>12</v>
      </c>
      <c r="Q56" s="194">
        <v>0.80000001192092896</v>
      </c>
      <c r="R56" s="194">
        <v>0.74041342735290527</v>
      </c>
      <c r="S56" s="194">
        <v>1</v>
      </c>
      <c r="T56" s="194">
        <v>0.92307692766189575</v>
      </c>
      <c r="U56" s="194">
        <v>13</v>
      </c>
      <c r="V56" s="194">
        <v>0.84782606363296509</v>
      </c>
      <c r="W56" s="194">
        <v>0.76022416353225708</v>
      </c>
      <c r="X56" s="194">
        <v>1</v>
      </c>
      <c r="Y56" s="194">
        <v>1</v>
      </c>
      <c r="Z56" s="194">
        <v>11</v>
      </c>
      <c r="AA56" s="194">
        <v>0.8888888955116272</v>
      </c>
      <c r="AB56" s="194">
        <v>0.74258285760879517</v>
      </c>
      <c r="AC56" s="194">
        <v>1</v>
      </c>
      <c r="AD56" s="194"/>
      <c r="AE56" s="194"/>
      <c r="AF56" s="194">
        <v>0.90909093618392944</v>
      </c>
      <c r="AG56" s="194">
        <v>0.75718337297439575</v>
      </c>
      <c r="AH56" s="194">
        <v>1</v>
      </c>
      <c r="AI56" s="194">
        <v>0.85000002384185791</v>
      </c>
      <c r="AJ56" s="194">
        <v>20</v>
      </c>
      <c r="AK56" s="194">
        <v>0.9375</v>
      </c>
      <c r="AL56" s="194">
        <v>0.7630729079246521</v>
      </c>
      <c r="AM56" s="194">
        <v>1</v>
      </c>
      <c r="AN56" s="194">
        <v>1</v>
      </c>
      <c r="AO56" s="194">
        <v>17</v>
      </c>
      <c r="AP56" s="194">
        <v>0.94444441795349121</v>
      </c>
      <c r="AQ56" s="194">
        <v>0.77064782381057739</v>
      </c>
      <c r="AR56" s="194">
        <v>1</v>
      </c>
      <c r="AS56" s="194">
        <v>1</v>
      </c>
      <c r="AT56" s="194">
        <v>17</v>
      </c>
      <c r="AU56" s="194">
        <v>0.92957746982574463</v>
      </c>
      <c r="AV56" s="194">
        <v>0.78661888837814331</v>
      </c>
      <c r="AW56" s="194">
        <v>1</v>
      </c>
      <c r="AX56" s="194">
        <v>0.88235294818878174</v>
      </c>
      <c r="AY56" s="194">
        <v>17</v>
      </c>
      <c r="AZ56" s="194">
        <v>0.94117647409439087</v>
      </c>
      <c r="BA56" s="194">
        <v>0.78424257040023804</v>
      </c>
      <c r="BB56" s="194">
        <v>1</v>
      </c>
      <c r="BC56" s="194">
        <v>0.88235294818878174</v>
      </c>
      <c r="BD56" s="194">
        <v>17</v>
      </c>
      <c r="BE56" s="194">
        <v>0.89552241563796997</v>
      </c>
      <c r="BF56" s="55"/>
      <c r="BG56" s="55"/>
      <c r="BH56" s="55"/>
      <c r="BI56" s="55"/>
    </row>
    <row r="57" spans="1:61" x14ac:dyDescent="0.3">
      <c r="A57" s="193" t="s">
        <v>310</v>
      </c>
      <c r="B57" s="194"/>
      <c r="C57" s="194"/>
      <c r="D57" s="194"/>
      <c r="E57" s="194">
        <v>0.94117647409439087</v>
      </c>
      <c r="F57" s="194">
        <v>17</v>
      </c>
      <c r="G57" s="194"/>
      <c r="H57" s="194"/>
      <c r="I57" s="194"/>
      <c r="J57" s="194"/>
      <c r="K57" s="194"/>
      <c r="L57" s="194"/>
      <c r="M57" s="194"/>
      <c r="N57" s="194"/>
      <c r="O57" s="194">
        <v>0.8461538553237915</v>
      </c>
      <c r="P57" s="194">
        <v>13</v>
      </c>
      <c r="Q57" s="194"/>
      <c r="R57" s="194"/>
      <c r="S57" s="194"/>
      <c r="T57" s="194"/>
      <c r="U57" s="194"/>
      <c r="V57" s="194"/>
      <c r="W57" s="194"/>
      <c r="X57" s="194"/>
      <c r="Y57" s="194">
        <v>0.76923078298568726</v>
      </c>
      <c r="Z57" s="194">
        <v>13</v>
      </c>
      <c r="AA57" s="194"/>
      <c r="AB57" s="194"/>
      <c r="AC57" s="194"/>
      <c r="AD57" s="194"/>
      <c r="AE57" s="194"/>
      <c r="AF57" s="194"/>
      <c r="AG57" s="194"/>
      <c r="AH57" s="194"/>
      <c r="AI57" s="194">
        <v>0.8461538553237915</v>
      </c>
      <c r="AJ57" s="194">
        <v>13</v>
      </c>
      <c r="AK57" s="194"/>
      <c r="AL57" s="194"/>
      <c r="AM57" s="194"/>
      <c r="AN57" s="194"/>
      <c r="AO57" s="194"/>
      <c r="AP57" s="194"/>
      <c r="AQ57" s="194"/>
      <c r="AR57" s="194"/>
      <c r="AS57" s="194">
        <v>0.8888888955116272</v>
      </c>
      <c r="AT57" s="194">
        <v>27</v>
      </c>
      <c r="AU57" s="194"/>
      <c r="AV57" s="194"/>
      <c r="AW57" s="194"/>
      <c r="AX57" s="194">
        <v>0.83333331346511841</v>
      </c>
      <c r="AY57" s="194">
        <v>12</v>
      </c>
      <c r="AZ57" s="194"/>
      <c r="BA57" s="194"/>
      <c r="BB57" s="194"/>
      <c r="BC57" s="194">
        <v>0.90909093618392944</v>
      </c>
      <c r="BD57" s="194">
        <v>11</v>
      </c>
      <c r="BE57" s="194"/>
      <c r="BF57" s="55"/>
      <c r="BG57" s="55"/>
      <c r="BH57" s="55"/>
      <c r="BI57" s="55"/>
    </row>
    <row r="58" spans="1:61" x14ac:dyDescent="0.3">
      <c r="A58" s="193" t="s">
        <v>390</v>
      </c>
      <c r="B58" s="194">
        <v>0.81372547149658203</v>
      </c>
      <c r="C58" s="194">
        <v>0.61144709587097168</v>
      </c>
      <c r="D58" s="194">
        <v>0.87154614925384521</v>
      </c>
      <c r="E58" s="194">
        <v>0.72727274894714355</v>
      </c>
      <c r="F58" s="194">
        <v>22</v>
      </c>
      <c r="G58" s="194">
        <v>0.78217822313308716</v>
      </c>
      <c r="H58" s="194">
        <v>0.61080485582351685</v>
      </c>
      <c r="I58" s="194">
        <v>0.87218838930130005</v>
      </c>
      <c r="J58" s="194">
        <v>0.79166668653488159</v>
      </c>
      <c r="K58" s="194">
        <v>24</v>
      </c>
      <c r="L58" s="194">
        <v>0.71578949689865112</v>
      </c>
      <c r="M58" s="194">
        <v>0.60674089193344116</v>
      </c>
      <c r="N58" s="194">
        <v>0.87625235319137573</v>
      </c>
      <c r="O58" s="194">
        <v>0.61904764175415039</v>
      </c>
      <c r="P58" s="194">
        <v>21</v>
      </c>
      <c r="Q58" s="194">
        <v>0.72093021869659424</v>
      </c>
      <c r="R58" s="194">
        <v>0.5998651385307312</v>
      </c>
      <c r="S58" s="194">
        <v>0.88312810659408569</v>
      </c>
      <c r="T58" s="194">
        <v>0.73684209585189819</v>
      </c>
      <c r="U58" s="194">
        <v>19</v>
      </c>
      <c r="V58" s="194">
        <v>0.69999998807907104</v>
      </c>
      <c r="W58" s="194">
        <v>0.60304832458496094</v>
      </c>
      <c r="X58" s="194">
        <v>0.87994492053985596</v>
      </c>
      <c r="Y58" s="194">
        <v>0.6538461446762085</v>
      </c>
      <c r="Z58" s="194">
        <v>26</v>
      </c>
      <c r="AA58" s="194">
        <v>0.67346936464309692</v>
      </c>
      <c r="AB58" s="194">
        <v>0.60881954431533813</v>
      </c>
      <c r="AC58" s="194">
        <v>0.87417370080947876</v>
      </c>
      <c r="AD58" s="194">
        <v>0.6875</v>
      </c>
      <c r="AE58" s="194">
        <v>32</v>
      </c>
      <c r="AF58" s="194">
        <v>0.7549019455909729</v>
      </c>
      <c r="AG58" s="194">
        <v>0.61144709587097168</v>
      </c>
      <c r="AH58" s="194">
        <v>0.87154614925384521</v>
      </c>
      <c r="AI58" s="194">
        <v>0.95999997854232788</v>
      </c>
      <c r="AJ58" s="194">
        <v>25</v>
      </c>
      <c r="AK58" s="194">
        <v>0.76851850748062134</v>
      </c>
      <c r="AL58" s="194">
        <v>0.61511117219924927</v>
      </c>
      <c r="AM58" s="194">
        <v>0.86788207292556763</v>
      </c>
      <c r="AN58" s="194">
        <v>0.80000001192092896</v>
      </c>
      <c r="AO58" s="194">
        <v>25</v>
      </c>
      <c r="AP58" s="194">
        <v>0.77678573131561279</v>
      </c>
      <c r="AQ58" s="194">
        <v>0.61738854646682739</v>
      </c>
      <c r="AR58" s="194">
        <v>0.8656046986579895</v>
      </c>
      <c r="AS58" s="194">
        <v>0.69999998807907104</v>
      </c>
      <c r="AT58" s="194">
        <v>30</v>
      </c>
      <c r="AU58" s="194">
        <v>0.79207921028137207</v>
      </c>
      <c r="AV58" s="194">
        <v>0.61080485582351685</v>
      </c>
      <c r="AW58" s="194">
        <v>0.87218838930130005</v>
      </c>
      <c r="AX58" s="194">
        <v>0.71428573131561279</v>
      </c>
      <c r="AY58" s="194">
        <v>21</v>
      </c>
      <c r="AZ58" s="194">
        <v>0.75257730484008789</v>
      </c>
      <c r="BA58" s="194">
        <v>0.60813736915588379</v>
      </c>
      <c r="BB58" s="194">
        <v>0.87485587596893311</v>
      </c>
      <c r="BC58" s="194">
        <v>0.8095238208770752</v>
      </c>
      <c r="BD58" s="194">
        <v>21</v>
      </c>
      <c r="BE58" s="194">
        <v>0.74149662256240845</v>
      </c>
      <c r="BF58" s="55"/>
      <c r="BG58" s="55"/>
      <c r="BH58" s="55"/>
      <c r="BI58" s="55"/>
    </row>
    <row r="59" spans="1:61" x14ac:dyDescent="0.3">
      <c r="A59" s="193" t="s">
        <v>548</v>
      </c>
      <c r="B59" s="194">
        <v>0.89999997615814209</v>
      </c>
      <c r="C59" s="194">
        <v>0.82890957593917847</v>
      </c>
      <c r="D59" s="194">
        <v>1</v>
      </c>
      <c r="E59" s="194">
        <v>1</v>
      </c>
      <c r="F59" s="194">
        <v>12</v>
      </c>
      <c r="G59" s="194">
        <v>0.95999997854232788</v>
      </c>
      <c r="H59" s="194">
        <v>0.79926103353500366</v>
      </c>
      <c r="I59" s="194">
        <v>1</v>
      </c>
      <c r="J59" s="194"/>
      <c r="K59" s="194"/>
      <c r="L59" s="194">
        <v>0.95744681358337402</v>
      </c>
      <c r="M59" s="194">
        <v>0.83757978677749634</v>
      </c>
      <c r="N59" s="194">
        <v>1</v>
      </c>
      <c r="O59" s="194">
        <v>0.95454543828964233</v>
      </c>
      <c r="P59" s="194">
        <v>22</v>
      </c>
      <c r="Q59" s="194">
        <v>0.97872340679168701</v>
      </c>
      <c r="R59" s="194">
        <v>0.83757978677749634</v>
      </c>
      <c r="S59" s="194">
        <v>1</v>
      </c>
      <c r="T59" s="194">
        <v>1</v>
      </c>
      <c r="U59" s="194">
        <v>13</v>
      </c>
      <c r="V59" s="194">
        <v>0.95999997854232788</v>
      </c>
      <c r="W59" s="194">
        <v>0.8407251238822937</v>
      </c>
      <c r="X59" s="194">
        <v>1</v>
      </c>
      <c r="Y59" s="194">
        <v>0.93333333730697632</v>
      </c>
      <c r="Z59" s="194">
        <v>15</v>
      </c>
      <c r="AA59" s="194">
        <v>0.953125</v>
      </c>
      <c r="AB59" s="194">
        <v>0.85234874486923218</v>
      </c>
      <c r="AC59" s="194">
        <v>1</v>
      </c>
      <c r="AD59" s="194">
        <v>0.92857140302658081</v>
      </c>
      <c r="AE59" s="194">
        <v>14</v>
      </c>
      <c r="AF59" s="194">
        <v>0.89090907573699951</v>
      </c>
      <c r="AG59" s="194">
        <v>0.84538370370864868</v>
      </c>
      <c r="AH59" s="194">
        <v>1</v>
      </c>
      <c r="AI59" s="194">
        <v>0.69230771064758301</v>
      </c>
      <c r="AJ59" s="194">
        <v>13</v>
      </c>
      <c r="AK59" s="194">
        <v>0.89830505847930908</v>
      </c>
      <c r="AL59" s="194">
        <v>0.84867584705352783</v>
      </c>
      <c r="AM59" s="194">
        <v>1</v>
      </c>
      <c r="AN59" s="194">
        <v>1</v>
      </c>
      <c r="AO59" s="194">
        <v>17</v>
      </c>
      <c r="AP59" s="194">
        <v>0.89830505847930908</v>
      </c>
      <c r="AQ59" s="194">
        <v>0.84867584705352783</v>
      </c>
      <c r="AR59" s="194">
        <v>1</v>
      </c>
      <c r="AS59" s="194">
        <v>0.93333333730697632</v>
      </c>
      <c r="AT59" s="194">
        <v>15</v>
      </c>
      <c r="AU59" s="194">
        <v>0.921875</v>
      </c>
      <c r="AV59" s="194">
        <v>0.85234874486923218</v>
      </c>
      <c r="AW59" s="194">
        <v>1</v>
      </c>
      <c r="AX59" s="194">
        <v>1</v>
      </c>
      <c r="AY59" s="194">
        <v>19</v>
      </c>
      <c r="AZ59" s="194">
        <v>0.97014927864074707</v>
      </c>
      <c r="BA59" s="194">
        <v>0.85435235500335693</v>
      </c>
      <c r="BB59" s="194">
        <v>1</v>
      </c>
      <c r="BC59" s="194">
        <v>0.9375</v>
      </c>
      <c r="BD59" s="194">
        <v>16</v>
      </c>
      <c r="BE59" s="194">
        <v>0.94082838296890259</v>
      </c>
      <c r="BF59" s="55"/>
      <c r="BG59" s="55"/>
      <c r="BH59" s="55"/>
      <c r="BI59" s="55"/>
    </row>
    <row r="60" spans="1:61" x14ac:dyDescent="0.3">
      <c r="A60" s="193" t="s">
        <v>518</v>
      </c>
      <c r="B60" s="194">
        <v>0.63095235824584961</v>
      </c>
      <c r="C60" s="194">
        <v>0.41068583726882935</v>
      </c>
      <c r="D60" s="194">
        <v>0.73454242944717407</v>
      </c>
      <c r="E60" s="194">
        <v>0.52380955219268799</v>
      </c>
      <c r="F60" s="194">
        <v>21</v>
      </c>
      <c r="G60" s="194">
        <v>0.6071428656578064</v>
      </c>
      <c r="H60" s="194">
        <v>0.41068583726882935</v>
      </c>
      <c r="I60" s="194">
        <v>0.73454242944717407</v>
      </c>
      <c r="J60" s="194">
        <v>0.61904764175415039</v>
      </c>
      <c r="K60" s="194">
        <v>21</v>
      </c>
      <c r="L60" s="194">
        <v>0.6538461446762085</v>
      </c>
      <c r="M60" s="194">
        <v>0.40457320213317871</v>
      </c>
      <c r="N60" s="194">
        <v>0.74065506458282471</v>
      </c>
      <c r="O60" s="194">
        <v>0.78947371244430542</v>
      </c>
      <c r="P60" s="194">
        <v>19</v>
      </c>
      <c r="Q60" s="194">
        <v>0.64556962251663208</v>
      </c>
      <c r="R60" s="194">
        <v>0.40564015507698059</v>
      </c>
      <c r="S60" s="194">
        <v>0.73958814144134521</v>
      </c>
      <c r="T60" s="194">
        <v>0.66666668653488159</v>
      </c>
      <c r="U60" s="194">
        <v>18</v>
      </c>
      <c r="V60" s="194">
        <v>0.64835166931152344</v>
      </c>
      <c r="W60" s="194">
        <v>0.41703847050666809</v>
      </c>
      <c r="X60" s="194">
        <v>0.72818982601165771</v>
      </c>
      <c r="Y60" s="194">
        <v>0.57575756311416626</v>
      </c>
      <c r="Z60" s="194">
        <v>33</v>
      </c>
      <c r="AA60" s="194">
        <v>0.6419752836227417</v>
      </c>
      <c r="AB60" s="194">
        <v>0.40771442651748657</v>
      </c>
      <c r="AC60" s="194">
        <v>0.73751384019851685</v>
      </c>
      <c r="AD60" s="194">
        <v>0.54545456171035767</v>
      </c>
      <c r="AE60" s="194">
        <v>11</v>
      </c>
      <c r="AF60" s="194">
        <v>0.6103895902633667</v>
      </c>
      <c r="AG60" s="194">
        <v>0.40348556637763977</v>
      </c>
      <c r="AH60" s="194">
        <v>0.74174273014068604</v>
      </c>
      <c r="AI60" s="194">
        <v>0.66666668653488159</v>
      </c>
      <c r="AJ60" s="194">
        <v>15</v>
      </c>
      <c r="AK60" s="194">
        <v>0.53750002384185791</v>
      </c>
      <c r="AL60" s="194">
        <v>0.40668702125549316</v>
      </c>
      <c r="AM60" s="194">
        <v>0.73854124546051025</v>
      </c>
      <c r="AN60" s="194">
        <v>0.380952388048172</v>
      </c>
      <c r="AO60" s="194">
        <v>21</v>
      </c>
      <c r="AP60" s="194">
        <v>0.49333333969116211</v>
      </c>
      <c r="AQ60" s="194">
        <v>0.4012453556060791</v>
      </c>
      <c r="AR60" s="194">
        <v>0.74398291110992432</v>
      </c>
      <c r="AS60" s="194">
        <v>0.46428570151329041</v>
      </c>
      <c r="AT60" s="194">
        <v>28</v>
      </c>
      <c r="AU60" s="194">
        <v>0.51898735761642456</v>
      </c>
      <c r="AV60" s="194">
        <v>0.40564015507698059</v>
      </c>
      <c r="AW60" s="194">
        <v>0.73958814144134521</v>
      </c>
      <c r="AX60" s="194">
        <v>0.66666668653488159</v>
      </c>
      <c r="AY60" s="194">
        <v>15</v>
      </c>
      <c r="AZ60" s="194">
        <v>0.46511629223823547</v>
      </c>
      <c r="BA60" s="194">
        <v>0.41257980465888977</v>
      </c>
      <c r="BB60" s="194">
        <v>0.73264843225479126</v>
      </c>
      <c r="BC60" s="194">
        <v>0.40909090638160706</v>
      </c>
      <c r="BD60" s="194">
        <v>22</v>
      </c>
      <c r="BE60" s="194">
        <v>0.57261413335800171</v>
      </c>
      <c r="BF60" s="55"/>
      <c r="BG60" s="55"/>
      <c r="BH60" s="55"/>
      <c r="BI60" s="55"/>
    </row>
    <row r="61" spans="1:61" x14ac:dyDescent="0.3">
      <c r="A61" s="193" t="s">
        <v>496</v>
      </c>
      <c r="B61" s="194">
        <v>0.90291261672973633</v>
      </c>
      <c r="C61" s="194">
        <v>0.54291576147079468</v>
      </c>
      <c r="D61" s="194">
        <v>0.81853002309799194</v>
      </c>
      <c r="E61" s="194">
        <v>0.77777779102325439</v>
      </c>
      <c r="F61" s="194">
        <v>27</v>
      </c>
      <c r="G61" s="194">
        <v>0.82142859697341919</v>
      </c>
      <c r="H61" s="194">
        <v>0.54856860637664795</v>
      </c>
      <c r="I61" s="194">
        <v>0.81287717819213867</v>
      </c>
      <c r="J61" s="194">
        <v>0.67647057771682739</v>
      </c>
      <c r="K61" s="194">
        <v>34</v>
      </c>
      <c r="L61" s="194">
        <v>0.76724135875701904</v>
      </c>
      <c r="M61" s="194">
        <v>0.55086708068847656</v>
      </c>
      <c r="N61" s="194">
        <v>0.81057870388031006</v>
      </c>
      <c r="O61" s="194">
        <v>0.77777779102325439</v>
      </c>
      <c r="P61" s="194">
        <v>36</v>
      </c>
      <c r="Q61" s="194">
        <v>0.71317827701568604</v>
      </c>
      <c r="R61" s="194">
        <v>0.55758392810821533</v>
      </c>
      <c r="S61" s="194">
        <v>0.80386185646057129</v>
      </c>
      <c r="T61" s="194">
        <v>0.625</v>
      </c>
      <c r="U61" s="194">
        <v>32</v>
      </c>
      <c r="V61" s="194">
        <v>0.68253970146179199</v>
      </c>
      <c r="W61" s="194">
        <v>0.55612659454345703</v>
      </c>
      <c r="X61" s="194">
        <v>0.80531919002532959</v>
      </c>
      <c r="Y61" s="194">
        <v>0.625</v>
      </c>
      <c r="Z61" s="194">
        <v>24</v>
      </c>
      <c r="AA61" s="194">
        <v>0.63934427499771118</v>
      </c>
      <c r="AB61" s="194">
        <v>0.55410051345825195</v>
      </c>
      <c r="AC61" s="194">
        <v>0.80734527111053467</v>
      </c>
      <c r="AD61" s="194">
        <v>0.5</v>
      </c>
      <c r="AE61" s="194">
        <v>30</v>
      </c>
      <c r="AF61" s="194">
        <v>0.58333331346511841</v>
      </c>
      <c r="AG61" s="194">
        <v>0.55304968357086182</v>
      </c>
      <c r="AH61" s="194">
        <v>0.8083961009979248</v>
      </c>
      <c r="AI61" s="194">
        <v>0.58823531866073608</v>
      </c>
      <c r="AJ61" s="194">
        <v>34</v>
      </c>
      <c r="AK61" s="194">
        <v>0.55660378932952881</v>
      </c>
      <c r="AL61" s="194">
        <v>0.54487985372543335</v>
      </c>
      <c r="AM61" s="194">
        <v>0.81656593084335327</v>
      </c>
      <c r="AN61" s="194">
        <v>0.5</v>
      </c>
      <c r="AO61" s="194">
        <v>18</v>
      </c>
      <c r="AP61" s="194">
        <v>0.59793812036514282</v>
      </c>
      <c r="AQ61" s="194">
        <v>0.53871762752532959</v>
      </c>
      <c r="AR61" s="194">
        <v>0.82272815704345703</v>
      </c>
      <c r="AS61" s="194">
        <v>0.93333333730697632</v>
      </c>
      <c r="AT61" s="194">
        <v>15</v>
      </c>
      <c r="AU61" s="194">
        <v>0.64772725105285645</v>
      </c>
      <c r="AV61" s="194">
        <v>0.53163272142410278</v>
      </c>
      <c r="AW61" s="194">
        <v>0.82981306314468384</v>
      </c>
      <c r="AX61" s="194">
        <v>0.66666668653488159</v>
      </c>
      <c r="AY61" s="194">
        <v>21</v>
      </c>
      <c r="AZ61" s="194">
        <v>0.69791668653488159</v>
      </c>
      <c r="BA61" s="194">
        <v>0.53797990083694458</v>
      </c>
      <c r="BB61" s="194">
        <v>0.82346588373184204</v>
      </c>
      <c r="BC61" s="194">
        <v>0.71428573131561279</v>
      </c>
      <c r="BD61" s="194">
        <v>42</v>
      </c>
      <c r="BE61" s="194">
        <v>0.68072289228439331</v>
      </c>
      <c r="BF61" s="55"/>
      <c r="BG61" s="55"/>
      <c r="BH61" s="55"/>
      <c r="BI61" s="55"/>
    </row>
    <row r="62" spans="1:61" x14ac:dyDescent="0.3">
      <c r="A62" s="193" t="s">
        <v>359</v>
      </c>
      <c r="B62" s="194">
        <v>0.92307692766189575</v>
      </c>
      <c r="C62" s="194">
        <v>0.32375854253768921</v>
      </c>
      <c r="D62" s="194">
        <v>0.80042451620101929</v>
      </c>
      <c r="E62" s="194"/>
      <c r="F62" s="194"/>
      <c r="G62" s="194">
        <v>0.8571428656578064</v>
      </c>
      <c r="H62" s="194">
        <v>0.33242812752723694</v>
      </c>
      <c r="I62" s="194">
        <v>0.79175496101379395</v>
      </c>
      <c r="J62" s="194">
        <v>0.72222220897674561</v>
      </c>
      <c r="K62" s="194">
        <v>18</v>
      </c>
      <c r="L62" s="194">
        <v>0.80645161867141724</v>
      </c>
      <c r="M62" s="194">
        <v>0.29476898908615112</v>
      </c>
      <c r="N62" s="194">
        <v>0.82941406965255737</v>
      </c>
      <c r="O62" s="194"/>
      <c r="P62" s="194"/>
      <c r="Q62" s="194">
        <v>0.707317054271698</v>
      </c>
      <c r="R62" s="194">
        <v>0.32964423298835754</v>
      </c>
      <c r="S62" s="194">
        <v>0.79453885555267334</v>
      </c>
      <c r="T62" s="194">
        <v>0.69565218687057495</v>
      </c>
      <c r="U62" s="194">
        <v>23</v>
      </c>
      <c r="V62" s="194">
        <v>0.68518519401550293</v>
      </c>
      <c r="W62" s="194">
        <v>0.35954743623733521</v>
      </c>
      <c r="X62" s="194">
        <v>0.76463562250137329</v>
      </c>
      <c r="Y62" s="194">
        <v>0.61538463830947876</v>
      </c>
      <c r="Z62" s="194">
        <v>13</v>
      </c>
      <c r="AA62" s="194">
        <v>0.63636362552642822</v>
      </c>
      <c r="AB62" s="194">
        <v>0.36139720678329468</v>
      </c>
      <c r="AC62" s="194">
        <v>0.76278585195541382</v>
      </c>
      <c r="AD62" s="194">
        <v>0.57894736528396606</v>
      </c>
      <c r="AE62" s="194">
        <v>19</v>
      </c>
      <c r="AF62" s="194">
        <v>0.63235294818878174</v>
      </c>
      <c r="AG62" s="194">
        <v>0.3815978467464447</v>
      </c>
      <c r="AH62" s="194">
        <v>0.74258518218994141</v>
      </c>
      <c r="AI62" s="194">
        <v>0.61538463830947876</v>
      </c>
      <c r="AJ62" s="194">
        <v>13</v>
      </c>
      <c r="AK62" s="194">
        <v>0.54545456171035767</v>
      </c>
      <c r="AL62" s="194">
        <v>0.36139720678329468</v>
      </c>
      <c r="AM62" s="194">
        <v>0.76278585195541382</v>
      </c>
      <c r="AN62" s="194">
        <v>0.30000001192092896</v>
      </c>
      <c r="AO62" s="194">
        <v>10</v>
      </c>
      <c r="AP62" s="194">
        <v>0.43548387289047241</v>
      </c>
      <c r="AQ62" s="194">
        <v>0.37306594848632813</v>
      </c>
      <c r="AR62" s="194">
        <v>0.75111711025238037</v>
      </c>
      <c r="AS62" s="194">
        <v>0.25</v>
      </c>
      <c r="AT62" s="194">
        <v>20</v>
      </c>
      <c r="AU62" s="194">
        <v>0.37209302186965942</v>
      </c>
      <c r="AV62" s="194">
        <v>0.33511433005332947</v>
      </c>
      <c r="AW62" s="194">
        <v>0.78906869888305664</v>
      </c>
      <c r="AX62" s="194"/>
      <c r="AY62" s="194"/>
      <c r="AZ62" s="194">
        <v>0.3333333432674408</v>
      </c>
      <c r="BA62" s="194">
        <v>0.35954743623733521</v>
      </c>
      <c r="BB62" s="194">
        <v>0.76463562250137329</v>
      </c>
      <c r="BC62" s="194">
        <v>0.4166666567325592</v>
      </c>
      <c r="BD62" s="194">
        <v>24</v>
      </c>
      <c r="BE62" s="194">
        <v>0.56209152936935425</v>
      </c>
      <c r="BF62" s="55"/>
      <c r="BG62" s="55"/>
      <c r="BH62" s="55"/>
      <c r="BI62" s="55"/>
    </row>
    <row r="63" spans="1:61" x14ac:dyDescent="0.3">
      <c r="A63" s="193" t="s">
        <v>431</v>
      </c>
      <c r="B63" s="194">
        <v>1</v>
      </c>
      <c r="C63" s="194">
        <v>0.21040235459804535</v>
      </c>
      <c r="D63" s="194">
        <v>0.99507713317871094</v>
      </c>
      <c r="E63" s="194"/>
      <c r="F63" s="194"/>
      <c r="G63" s="194">
        <v>1</v>
      </c>
      <c r="H63" s="194">
        <v>0.21040235459804535</v>
      </c>
      <c r="I63" s="194">
        <v>0.99507713317871094</v>
      </c>
      <c r="J63" s="194"/>
      <c r="K63" s="194"/>
      <c r="L63" s="194">
        <v>0.60000002384185791</v>
      </c>
      <c r="M63" s="194">
        <v>0.22370581328868866</v>
      </c>
      <c r="N63" s="194">
        <v>0.98177367448806763</v>
      </c>
      <c r="O63" s="194">
        <v>0.60000002384185791</v>
      </c>
      <c r="P63" s="194">
        <v>15</v>
      </c>
      <c r="Q63" s="194">
        <v>0.6538461446762085</v>
      </c>
      <c r="R63" s="194">
        <v>0.3148428201675415</v>
      </c>
      <c r="S63" s="194">
        <v>0.89063668251037598</v>
      </c>
      <c r="T63" s="194">
        <v>0.72727274894714355</v>
      </c>
      <c r="U63" s="194">
        <v>11</v>
      </c>
      <c r="V63" s="194">
        <v>0.6428571343421936</v>
      </c>
      <c r="W63" s="194">
        <v>0.37622365355491638</v>
      </c>
      <c r="X63" s="194">
        <v>0.82925587892532349</v>
      </c>
      <c r="Y63" s="194">
        <v>0.625</v>
      </c>
      <c r="Z63" s="194">
        <v>16</v>
      </c>
      <c r="AA63" s="194">
        <v>0.578125</v>
      </c>
      <c r="AB63" s="194">
        <v>0.41924074292182922</v>
      </c>
      <c r="AC63" s="194">
        <v>0.78623878955841064</v>
      </c>
      <c r="AD63" s="194">
        <v>0.45454546809196472</v>
      </c>
      <c r="AE63" s="194">
        <v>22</v>
      </c>
      <c r="AF63" s="194">
        <v>0.60317462682723999</v>
      </c>
      <c r="AG63" s="194">
        <v>0.41779011487960815</v>
      </c>
      <c r="AH63" s="194">
        <v>0.78768938779830933</v>
      </c>
      <c r="AI63" s="194">
        <v>0.71428573131561279</v>
      </c>
      <c r="AJ63" s="194">
        <v>14</v>
      </c>
      <c r="AK63" s="194">
        <v>0.54411762952804565</v>
      </c>
      <c r="AL63" s="194">
        <v>0.42471954226493835</v>
      </c>
      <c r="AM63" s="194">
        <v>0.78075993061065674</v>
      </c>
      <c r="AN63" s="194">
        <v>0.4375</v>
      </c>
      <c r="AO63" s="194">
        <v>16</v>
      </c>
      <c r="AP63" s="194">
        <v>0.58333331346511841</v>
      </c>
      <c r="AQ63" s="194">
        <v>0.4297352135181427</v>
      </c>
      <c r="AR63" s="194">
        <v>0.77574425935745239</v>
      </c>
      <c r="AS63" s="194">
        <v>0.75</v>
      </c>
      <c r="AT63" s="194">
        <v>20</v>
      </c>
      <c r="AU63" s="194">
        <v>0.61428570747375488</v>
      </c>
      <c r="AV63" s="194">
        <v>0.42728114128112793</v>
      </c>
      <c r="AW63" s="194">
        <v>0.77819836139678955</v>
      </c>
      <c r="AX63" s="194">
        <v>0.55000001192092896</v>
      </c>
      <c r="AY63" s="194">
        <v>20</v>
      </c>
      <c r="AZ63" s="194">
        <v>0.60294115543365479</v>
      </c>
      <c r="BA63" s="194">
        <v>0.42471954226493835</v>
      </c>
      <c r="BB63" s="194">
        <v>0.78075993061065674</v>
      </c>
      <c r="BC63" s="194">
        <v>0.66666668653488159</v>
      </c>
      <c r="BD63" s="194">
        <v>12</v>
      </c>
      <c r="BE63" s="194">
        <v>0.60273975133895874</v>
      </c>
      <c r="BF63" s="55"/>
      <c r="BG63" s="55"/>
      <c r="BH63" s="55"/>
      <c r="BI63" s="55"/>
    </row>
    <row r="64" spans="1:61" x14ac:dyDescent="0.3">
      <c r="A64" s="193" t="s">
        <v>526</v>
      </c>
      <c r="B64" s="194"/>
      <c r="C64" s="194"/>
      <c r="D64" s="194"/>
      <c r="E64" s="194">
        <v>0.54545456171035767</v>
      </c>
      <c r="F64" s="194">
        <v>11</v>
      </c>
      <c r="G64" s="194"/>
      <c r="H64" s="194"/>
      <c r="I64" s="194"/>
      <c r="J64" s="194">
        <v>0.20000000298023224</v>
      </c>
      <c r="K64" s="194">
        <v>10</v>
      </c>
      <c r="L64" s="194"/>
      <c r="M64" s="194"/>
      <c r="N64" s="194"/>
      <c r="O64" s="194">
        <v>0.54166668653488159</v>
      </c>
      <c r="P64" s="194">
        <v>24</v>
      </c>
      <c r="Q64" s="194"/>
      <c r="R64" s="194"/>
      <c r="S64" s="194"/>
      <c r="T64" s="194">
        <v>0.54545456171035767</v>
      </c>
      <c r="U64" s="194">
        <v>22</v>
      </c>
      <c r="V64" s="194"/>
      <c r="W64" s="194"/>
      <c r="X64" s="194"/>
      <c r="Y64" s="194">
        <v>0.81818181276321411</v>
      </c>
      <c r="Z64" s="194">
        <v>11</v>
      </c>
      <c r="AA64" s="194"/>
      <c r="AB64" s="194"/>
      <c r="AC64" s="194"/>
      <c r="AD64" s="194"/>
      <c r="AE64" s="194"/>
      <c r="AF64" s="194"/>
      <c r="AG64" s="194"/>
      <c r="AH64" s="194"/>
      <c r="AI64" s="194">
        <v>0.44999998807907104</v>
      </c>
      <c r="AJ64" s="194">
        <v>20</v>
      </c>
      <c r="AK64" s="194"/>
      <c r="AL64" s="194"/>
      <c r="AM64" s="194"/>
      <c r="AN64" s="194"/>
      <c r="AO64" s="194"/>
      <c r="AP64" s="194"/>
      <c r="AQ64" s="194"/>
      <c r="AR64" s="194"/>
      <c r="AS64" s="194">
        <v>0.3333333432674408</v>
      </c>
      <c r="AT64" s="194">
        <v>24</v>
      </c>
      <c r="AU64" s="194"/>
      <c r="AV64" s="194"/>
      <c r="AW64" s="194"/>
      <c r="AX64" s="194">
        <v>0.76923078298568726</v>
      </c>
      <c r="AY64" s="194">
        <v>13</v>
      </c>
      <c r="AZ64" s="194"/>
      <c r="BA64" s="194"/>
      <c r="BB64" s="194"/>
      <c r="BC64" s="194">
        <v>0.53333336114883423</v>
      </c>
      <c r="BD64" s="194">
        <v>15</v>
      </c>
      <c r="BE64" s="194"/>
      <c r="BF64" s="55"/>
      <c r="BG64" s="55"/>
      <c r="BH64" s="55"/>
      <c r="BI64" s="55"/>
    </row>
    <row r="65" spans="1:61" x14ac:dyDescent="0.3">
      <c r="A65" s="193" t="s">
        <v>435</v>
      </c>
      <c r="B65" s="194">
        <v>0.76767677068710327</v>
      </c>
      <c r="C65" s="194">
        <v>0.46869808435440063</v>
      </c>
      <c r="D65" s="194">
        <v>0.76207119226455688</v>
      </c>
      <c r="E65" s="194">
        <v>0.84210526943206787</v>
      </c>
      <c r="F65" s="194">
        <v>19</v>
      </c>
      <c r="G65" s="194">
        <v>0.79000002145767212</v>
      </c>
      <c r="H65" s="194">
        <v>0.46943336725234985</v>
      </c>
      <c r="I65" s="194">
        <v>0.76133590936660767</v>
      </c>
      <c r="J65" s="194">
        <v>0.9047619104385376</v>
      </c>
      <c r="K65" s="194">
        <v>21</v>
      </c>
      <c r="L65" s="194">
        <v>0.80000001192092896</v>
      </c>
      <c r="M65" s="194">
        <v>0.46153849363327026</v>
      </c>
      <c r="N65" s="194">
        <v>0.76923078298568726</v>
      </c>
      <c r="O65" s="194">
        <v>0.70833331346511841</v>
      </c>
      <c r="P65" s="194">
        <v>24</v>
      </c>
      <c r="Q65" s="194">
        <v>0.7764706015586853</v>
      </c>
      <c r="R65" s="194">
        <v>0.4570782482624054</v>
      </c>
      <c r="S65" s="194">
        <v>0.77369099855422974</v>
      </c>
      <c r="T65" s="194">
        <v>0.66666668653488159</v>
      </c>
      <c r="U65" s="194">
        <v>21</v>
      </c>
      <c r="V65" s="194">
        <v>0.73958331346511841</v>
      </c>
      <c r="W65" s="194">
        <v>0.46642374992370605</v>
      </c>
      <c r="X65" s="194">
        <v>0.76434552669525146</v>
      </c>
      <c r="Y65" s="194">
        <v>0.69999998807907104</v>
      </c>
      <c r="Z65" s="194">
        <v>30</v>
      </c>
      <c r="AA65" s="194">
        <v>0.63999998569488525</v>
      </c>
      <c r="AB65" s="194">
        <v>0.46943336725234985</v>
      </c>
      <c r="AC65" s="194">
        <v>0.76133590936660767</v>
      </c>
      <c r="AD65" s="194">
        <v>0.47999998927116394</v>
      </c>
      <c r="AE65" s="194">
        <v>25</v>
      </c>
      <c r="AF65" s="194">
        <v>0.55882352590560913</v>
      </c>
      <c r="AG65" s="194">
        <v>0.47087132930755615</v>
      </c>
      <c r="AH65" s="194">
        <v>0.75989794731140137</v>
      </c>
      <c r="AI65" s="194">
        <v>0.38461539149284363</v>
      </c>
      <c r="AJ65" s="194">
        <v>26</v>
      </c>
      <c r="AK65" s="194">
        <v>0.54901963472366333</v>
      </c>
      <c r="AL65" s="194">
        <v>0.47087132930755615</v>
      </c>
      <c r="AM65" s="194">
        <v>0.75989794731140137</v>
      </c>
      <c r="AN65" s="194">
        <v>0.61904764175415039</v>
      </c>
      <c r="AO65" s="194">
        <v>21</v>
      </c>
      <c r="AP65" s="194">
        <v>0.49473685026168823</v>
      </c>
      <c r="AQ65" s="194">
        <v>0.46564179658889771</v>
      </c>
      <c r="AR65" s="194">
        <v>0.76512748003005981</v>
      </c>
      <c r="AS65" s="194">
        <v>0.52173912525177002</v>
      </c>
      <c r="AT65" s="194">
        <v>23</v>
      </c>
      <c r="AU65" s="194">
        <v>0.48863637447357178</v>
      </c>
      <c r="AV65" s="194">
        <v>0.45980006456375122</v>
      </c>
      <c r="AW65" s="194">
        <v>0.7709692120552063</v>
      </c>
      <c r="AX65" s="194">
        <v>0.4444444477558136</v>
      </c>
      <c r="AY65" s="194">
        <v>18</v>
      </c>
      <c r="AZ65" s="194">
        <v>0.48148149251937866</v>
      </c>
      <c r="BA65" s="194">
        <v>0.453216552734375</v>
      </c>
      <c r="BB65" s="194">
        <v>0.77755272388458252</v>
      </c>
      <c r="BC65" s="194">
        <v>0.31578946113586426</v>
      </c>
      <c r="BD65" s="194">
        <v>19</v>
      </c>
      <c r="BE65" s="194">
        <v>0.61538463830947876</v>
      </c>
      <c r="BF65" s="55"/>
      <c r="BG65" s="55"/>
      <c r="BH65" s="55"/>
      <c r="BI65" s="55"/>
    </row>
    <row r="66" spans="1:61" x14ac:dyDescent="0.3">
      <c r="A66" s="193" t="s">
        <v>267</v>
      </c>
      <c r="B66" s="194">
        <v>0.94736844301223755</v>
      </c>
      <c r="C66" s="194">
        <v>0.63428902626037598</v>
      </c>
      <c r="D66" s="194">
        <v>1</v>
      </c>
      <c r="E66" s="194"/>
      <c r="F66" s="194"/>
      <c r="G66" s="194">
        <v>0.95918369293212891</v>
      </c>
      <c r="H66" s="194">
        <v>0.65656417608261108</v>
      </c>
      <c r="I66" s="194">
        <v>0.98522680997848511</v>
      </c>
      <c r="J66" s="194">
        <v>1</v>
      </c>
      <c r="K66" s="194">
        <v>11</v>
      </c>
      <c r="L66" s="194">
        <v>0.92500001192092896</v>
      </c>
      <c r="M66" s="194">
        <v>0.63901400566101074</v>
      </c>
      <c r="N66" s="194">
        <v>1</v>
      </c>
      <c r="O66" s="194">
        <v>0.89999997615814209</v>
      </c>
      <c r="P66" s="194">
        <v>10</v>
      </c>
      <c r="Q66" s="194">
        <v>0.92682927846908569</v>
      </c>
      <c r="R66" s="194">
        <v>0.64124578237533569</v>
      </c>
      <c r="S66" s="194">
        <v>1</v>
      </c>
      <c r="T66" s="194">
        <v>0.89999997615814209</v>
      </c>
      <c r="U66" s="194">
        <v>20</v>
      </c>
      <c r="V66" s="194">
        <v>0.94230771064758301</v>
      </c>
      <c r="W66" s="194">
        <v>0.66137486696243286</v>
      </c>
      <c r="X66" s="194">
        <v>0.98041611909866333</v>
      </c>
      <c r="Y66" s="194">
        <v>1</v>
      </c>
      <c r="Z66" s="194">
        <v>11</v>
      </c>
      <c r="AA66" s="194">
        <v>0.92156863212585449</v>
      </c>
      <c r="AB66" s="194">
        <v>0.65981853008270264</v>
      </c>
      <c r="AC66" s="194">
        <v>0.98197245597839355</v>
      </c>
      <c r="AD66" s="194">
        <v>0.89999997615814209</v>
      </c>
      <c r="AE66" s="194">
        <v>10</v>
      </c>
      <c r="AF66" s="194">
        <v>0.92682927846908569</v>
      </c>
      <c r="AG66" s="194">
        <v>0.64124578237533569</v>
      </c>
      <c r="AH66" s="194">
        <v>1</v>
      </c>
      <c r="AI66" s="194"/>
      <c r="AJ66" s="194"/>
      <c r="AK66" s="194">
        <v>0.85365855693817139</v>
      </c>
      <c r="AL66" s="194">
        <v>0.64124578237533569</v>
      </c>
      <c r="AM66" s="194">
        <v>1</v>
      </c>
      <c r="AN66" s="194">
        <v>0.75</v>
      </c>
      <c r="AO66" s="194">
        <v>20</v>
      </c>
      <c r="AP66" s="194">
        <v>0.80000001192092896</v>
      </c>
      <c r="AQ66" s="194">
        <v>0.63901400566101074</v>
      </c>
      <c r="AR66" s="194">
        <v>1</v>
      </c>
      <c r="AS66" s="194">
        <v>0.80000001192092896</v>
      </c>
      <c r="AT66" s="194">
        <v>10</v>
      </c>
      <c r="AU66" s="194">
        <v>0.72093021869659424</v>
      </c>
      <c r="AV66" s="194">
        <v>0.6454734206199646</v>
      </c>
      <c r="AW66" s="194">
        <v>0.99631756544113159</v>
      </c>
      <c r="AX66" s="194">
        <v>0.61538463830947876</v>
      </c>
      <c r="AY66" s="194">
        <v>13</v>
      </c>
      <c r="AZ66" s="194">
        <v>0.6603773832321167</v>
      </c>
      <c r="BA66" s="194">
        <v>0.66288697719573975</v>
      </c>
      <c r="BB66" s="194">
        <v>0.97890400886535645</v>
      </c>
      <c r="BC66" s="194">
        <v>0.40000000596046448</v>
      </c>
      <c r="BD66" s="194">
        <v>10</v>
      </c>
      <c r="BE66" s="194">
        <v>0.8208954930305481</v>
      </c>
      <c r="BF66" s="55"/>
      <c r="BG66" s="55"/>
      <c r="BH66" s="55"/>
      <c r="BI66" s="55"/>
    </row>
    <row r="67" spans="1:61" x14ac:dyDescent="0.3">
      <c r="A67" s="193" t="s">
        <v>484</v>
      </c>
      <c r="B67" s="194">
        <v>0.9523809552192688</v>
      </c>
      <c r="C67" s="194">
        <v>0.70308566093444824</v>
      </c>
      <c r="D67" s="194">
        <v>1</v>
      </c>
      <c r="E67" s="194">
        <v>0.90909093618392944</v>
      </c>
      <c r="F67" s="194">
        <v>22</v>
      </c>
      <c r="G67" s="194">
        <v>0.94339621067047119</v>
      </c>
      <c r="H67" s="194">
        <v>0.72058963775634766</v>
      </c>
      <c r="I67" s="194">
        <v>1</v>
      </c>
      <c r="J67" s="194">
        <v>0.90909093618392944</v>
      </c>
      <c r="K67" s="194">
        <v>11</v>
      </c>
      <c r="L67" s="194">
        <v>0.875</v>
      </c>
      <c r="M67" s="194">
        <v>0.71338152885437012</v>
      </c>
      <c r="N67" s="194">
        <v>1</v>
      </c>
      <c r="O67" s="194">
        <v>0.80000001192092896</v>
      </c>
      <c r="P67" s="194">
        <v>15</v>
      </c>
      <c r="Q67" s="194">
        <v>0.875</v>
      </c>
      <c r="R67" s="194">
        <v>0.71338152885437012</v>
      </c>
      <c r="S67" s="194">
        <v>1</v>
      </c>
      <c r="T67" s="194"/>
      <c r="U67" s="194"/>
      <c r="V67" s="194">
        <v>0.87234044075012207</v>
      </c>
      <c r="W67" s="194">
        <v>0.71180349588394165</v>
      </c>
      <c r="X67" s="194">
        <v>1</v>
      </c>
      <c r="Y67" s="194">
        <v>0.9047619104385376</v>
      </c>
      <c r="Z67" s="194">
        <v>21</v>
      </c>
      <c r="AA67" s="194">
        <v>0.87272727489471436</v>
      </c>
      <c r="AB67" s="194">
        <v>0.7231937050819397</v>
      </c>
      <c r="AC67" s="194">
        <v>1</v>
      </c>
      <c r="AD67" s="194">
        <v>0.89473682641983032</v>
      </c>
      <c r="AE67" s="194">
        <v>19</v>
      </c>
      <c r="AF67" s="194">
        <v>0.89655172824859619</v>
      </c>
      <c r="AG67" s="194">
        <v>0.72684431076049805</v>
      </c>
      <c r="AH67" s="194">
        <v>0.99815571308135986</v>
      </c>
      <c r="AI67" s="194">
        <v>0.8888888955116272</v>
      </c>
      <c r="AJ67" s="194">
        <v>18</v>
      </c>
      <c r="AK67" s="194">
        <v>0.89655172824859619</v>
      </c>
      <c r="AL67" s="194">
        <v>0.72684431076049805</v>
      </c>
      <c r="AM67" s="194">
        <v>0.99815571308135986</v>
      </c>
      <c r="AN67" s="194"/>
      <c r="AO67" s="194"/>
      <c r="AP67" s="194">
        <v>0.86206895112991333</v>
      </c>
      <c r="AQ67" s="194">
        <v>0.72684431076049805</v>
      </c>
      <c r="AR67" s="194">
        <v>0.99815571308135986</v>
      </c>
      <c r="AS67" s="194">
        <v>0.8095238208770752</v>
      </c>
      <c r="AT67" s="194">
        <v>21</v>
      </c>
      <c r="AU67" s="194">
        <v>0.84313726425170898</v>
      </c>
      <c r="AV67" s="194">
        <v>0.71783381700515747</v>
      </c>
      <c r="AW67" s="194">
        <v>1</v>
      </c>
      <c r="AX67" s="194">
        <v>0.83333331346511841</v>
      </c>
      <c r="AY67" s="194">
        <v>12</v>
      </c>
      <c r="AZ67" s="194">
        <v>0.81481480598449707</v>
      </c>
      <c r="BA67" s="194">
        <v>0.72190976142883301</v>
      </c>
      <c r="BB67" s="194">
        <v>1</v>
      </c>
      <c r="BC67" s="194">
        <v>0.8095238208770752</v>
      </c>
      <c r="BD67" s="194">
        <v>21</v>
      </c>
      <c r="BE67" s="194">
        <v>0.86250001192092896</v>
      </c>
      <c r="BF67" s="55"/>
      <c r="BG67" s="55"/>
      <c r="BH67" s="55"/>
      <c r="BI67" s="55"/>
    </row>
    <row r="68" spans="1:61" x14ac:dyDescent="0.3">
      <c r="A68" s="193" t="s">
        <v>470</v>
      </c>
      <c r="B68" s="194">
        <v>0.63636362552642822</v>
      </c>
      <c r="C68" s="194">
        <v>0.39262533187866211</v>
      </c>
      <c r="D68" s="194">
        <v>0.8930889368057251</v>
      </c>
      <c r="E68" s="194">
        <v>0.72727274894714355</v>
      </c>
      <c r="F68" s="194">
        <v>11</v>
      </c>
      <c r="G68" s="194">
        <v>0.6808510422706604</v>
      </c>
      <c r="H68" s="194">
        <v>0.43318024277687073</v>
      </c>
      <c r="I68" s="194">
        <v>0.85253399610519409</v>
      </c>
      <c r="J68" s="194">
        <v>0.78571426868438721</v>
      </c>
      <c r="K68" s="194">
        <v>14</v>
      </c>
      <c r="L68" s="194">
        <v>0.75999999046325684</v>
      </c>
      <c r="M68" s="194">
        <v>0.35536268353462219</v>
      </c>
      <c r="N68" s="194">
        <v>0.9303516149520874</v>
      </c>
      <c r="O68" s="194"/>
      <c r="P68" s="194"/>
      <c r="Q68" s="194">
        <v>0.707317054271698</v>
      </c>
      <c r="R68" s="194">
        <v>0.41836169362068176</v>
      </c>
      <c r="S68" s="194">
        <v>0.86735260486602783</v>
      </c>
      <c r="T68" s="194">
        <v>0.625</v>
      </c>
      <c r="U68" s="194">
        <v>16</v>
      </c>
      <c r="V68" s="194">
        <v>0.65853661298751831</v>
      </c>
      <c r="W68" s="194">
        <v>0.41836169362068176</v>
      </c>
      <c r="X68" s="194">
        <v>0.86735260486602783</v>
      </c>
      <c r="Y68" s="194">
        <v>0.54545456171035767</v>
      </c>
      <c r="Z68" s="194">
        <v>11</v>
      </c>
      <c r="AA68" s="194">
        <v>0.59259259700775146</v>
      </c>
      <c r="AB68" s="194">
        <v>0.36621546745300293</v>
      </c>
      <c r="AC68" s="194">
        <v>0.91949880123138428</v>
      </c>
      <c r="AD68" s="194"/>
      <c r="AE68" s="194"/>
      <c r="AF68" s="194">
        <v>0.65909093618392944</v>
      </c>
      <c r="AG68" s="194">
        <v>0.42615002393722534</v>
      </c>
      <c r="AH68" s="194">
        <v>0.85956424474716187</v>
      </c>
      <c r="AI68" s="194">
        <v>0.76470589637756348</v>
      </c>
      <c r="AJ68" s="194">
        <v>17</v>
      </c>
      <c r="AK68" s="194">
        <v>0.63414633274078369</v>
      </c>
      <c r="AL68" s="194">
        <v>0.41836169362068176</v>
      </c>
      <c r="AM68" s="194">
        <v>0.86735260486602783</v>
      </c>
      <c r="AN68" s="194">
        <v>0.53846156597137451</v>
      </c>
      <c r="AO68" s="194">
        <v>13</v>
      </c>
      <c r="AP68" s="194">
        <v>0.5952380895614624</v>
      </c>
      <c r="AQ68" s="194">
        <v>0.42105033993721008</v>
      </c>
      <c r="AR68" s="194">
        <v>0.86466389894485474</v>
      </c>
      <c r="AS68" s="194">
        <v>0.4166666567325592</v>
      </c>
      <c r="AT68" s="194">
        <v>12</v>
      </c>
      <c r="AU68" s="194">
        <v>0.61538463830947876</v>
      </c>
      <c r="AV68" s="194">
        <v>0.4435155987739563</v>
      </c>
      <c r="AW68" s="194">
        <v>0.84219866991043091</v>
      </c>
      <c r="AX68" s="194">
        <v>0.69999998807907104</v>
      </c>
      <c r="AY68" s="194">
        <v>10</v>
      </c>
      <c r="AZ68" s="194">
        <v>0.57894736528396606</v>
      </c>
      <c r="BA68" s="194">
        <v>0.45245927572250366</v>
      </c>
      <c r="BB68" s="194">
        <v>0.83325499296188354</v>
      </c>
      <c r="BC68" s="194">
        <v>0.63636362552642822</v>
      </c>
      <c r="BD68" s="194">
        <v>22</v>
      </c>
      <c r="BE68" s="194">
        <v>0.6428571343421936</v>
      </c>
      <c r="BF68" s="55"/>
      <c r="BG68" s="55"/>
      <c r="BH68" s="55"/>
      <c r="BI68" s="55"/>
    </row>
    <row r="69" spans="1:61" x14ac:dyDescent="0.3">
      <c r="A69" s="193" t="s">
        <v>416</v>
      </c>
      <c r="B69" s="194">
        <v>0.9453125</v>
      </c>
      <c r="C69" s="194">
        <v>0.62774175405502319</v>
      </c>
      <c r="D69" s="194">
        <v>0.85932725667953491</v>
      </c>
      <c r="E69" s="194">
        <v>0.91666668653488159</v>
      </c>
      <c r="F69" s="194">
        <v>24</v>
      </c>
      <c r="G69" s="194">
        <v>0.8731343150138855</v>
      </c>
      <c r="H69" s="194">
        <v>0.6303638219833374</v>
      </c>
      <c r="I69" s="194">
        <v>0.8567051887512207</v>
      </c>
      <c r="J69" s="194">
        <v>0.69999998807907104</v>
      </c>
      <c r="K69" s="194">
        <v>40</v>
      </c>
      <c r="L69" s="194">
        <v>0.8439716100692749</v>
      </c>
      <c r="M69" s="194">
        <v>0.63320881128311157</v>
      </c>
      <c r="N69" s="194">
        <v>0.85386019945144653</v>
      </c>
      <c r="O69" s="194">
        <v>0.83720928430557251</v>
      </c>
      <c r="P69" s="194">
        <v>43</v>
      </c>
      <c r="Q69" s="194">
        <v>0.79354840517044067</v>
      </c>
      <c r="R69" s="194">
        <v>0.63830912113189697</v>
      </c>
      <c r="S69" s="194">
        <v>0.84875988960266113</v>
      </c>
      <c r="T69" s="194">
        <v>0.77083331346511841</v>
      </c>
      <c r="U69" s="194">
        <v>48</v>
      </c>
      <c r="V69" s="194">
        <v>0.75155282020568848</v>
      </c>
      <c r="W69" s="194">
        <v>0.64028847217559814</v>
      </c>
      <c r="X69" s="194">
        <v>0.84678053855895996</v>
      </c>
      <c r="Y69" s="194">
        <v>0.66666668653488159</v>
      </c>
      <c r="Z69" s="194">
        <v>30</v>
      </c>
      <c r="AA69" s="194">
        <v>0.81595093011856079</v>
      </c>
      <c r="AB69" s="194">
        <v>0.64092385768890381</v>
      </c>
      <c r="AC69" s="194">
        <v>0.8461451530456543</v>
      </c>
      <c r="AD69" s="194">
        <v>0.9523809552192688</v>
      </c>
      <c r="AE69" s="194">
        <v>42</v>
      </c>
      <c r="AF69" s="194">
        <v>0.82051283121109009</v>
      </c>
      <c r="AG69" s="194">
        <v>0.63864696025848389</v>
      </c>
      <c r="AH69" s="194">
        <v>0.84842205047607422</v>
      </c>
      <c r="AI69" s="194">
        <v>0.8611111044883728</v>
      </c>
      <c r="AJ69" s="194">
        <v>36</v>
      </c>
      <c r="AK69" s="194">
        <v>0.79729729890823364</v>
      </c>
      <c r="AL69" s="194">
        <v>0.6358494758605957</v>
      </c>
      <c r="AM69" s="194">
        <v>0.8512195348739624</v>
      </c>
      <c r="AN69" s="194">
        <v>0.67500001192092896</v>
      </c>
      <c r="AO69" s="194">
        <v>40</v>
      </c>
      <c r="AP69" s="194">
        <v>0.76249998807907104</v>
      </c>
      <c r="AQ69" s="194">
        <v>0.63996630907058716</v>
      </c>
      <c r="AR69" s="194">
        <v>0.84710270166397095</v>
      </c>
      <c r="AS69" s="194">
        <v>0.57142859697341919</v>
      </c>
      <c r="AT69" s="194">
        <v>42</v>
      </c>
      <c r="AU69" s="194">
        <v>0.63855421543121338</v>
      </c>
      <c r="AV69" s="194">
        <v>0.64185529947280884</v>
      </c>
      <c r="AW69" s="194">
        <v>0.84521371126174927</v>
      </c>
      <c r="AX69" s="194">
        <v>0.5</v>
      </c>
      <c r="AY69" s="194">
        <v>48</v>
      </c>
      <c r="AZ69" s="194">
        <v>0.58682632446289063</v>
      </c>
      <c r="BA69" s="194">
        <v>0.64216017723083496</v>
      </c>
      <c r="BB69" s="194">
        <v>0.84490883350372314</v>
      </c>
      <c r="BC69" s="194">
        <v>0.62162160873413086</v>
      </c>
      <c r="BD69" s="194">
        <v>37</v>
      </c>
      <c r="BE69" s="194">
        <v>0.74353450536727905</v>
      </c>
      <c r="BF69" s="55"/>
      <c r="BG69" s="55"/>
      <c r="BH69" s="55"/>
      <c r="BI69" s="55"/>
    </row>
    <row r="70" spans="1:61" x14ac:dyDescent="0.3">
      <c r="A70" s="193" t="s">
        <v>341</v>
      </c>
      <c r="B70" s="194">
        <v>0.92473119497299194</v>
      </c>
      <c r="C70" s="194">
        <v>0.71739858388900757</v>
      </c>
      <c r="D70" s="194">
        <v>0.94926804304122925</v>
      </c>
      <c r="E70" s="194">
        <v>0.96666663885116577</v>
      </c>
      <c r="F70" s="194">
        <v>30</v>
      </c>
      <c r="G70" s="194">
        <v>0.9541284441947937</v>
      </c>
      <c r="H70" s="194">
        <v>0.72624504566192627</v>
      </c>
      <c r="I70" s="194">
        <v>0.94042158126831055</v>
      </c>
      <c r="J70" s="194">
        <v>1</v>
      </c>
      <c r="K70" s="194">
        <v>28</v>
      </c>
      <c r="L70" s="194">
        <v>0.9196428656578064</v>
      </c>
      <c r="M70" s="194">
        <v>0.72768902778625488</v>
      </c>
      <c r="N70" s="194">
        <v>0.93897759914398193</v>
      </c>
      <c r="O70" s="194">
        <v>0.78260868787765503</v>
      </c>
      <c r="P70" s="194">
        <v>23</v>
      </c>
      <c r="Q70" s="194">
        <v>0.87254899740219116</v>
      </c>
      <c r="R70" s="194">
        <v>0.72263145446777344</v>
      </c>
      <c r="S70" s="194">
        <v>0.94403517246246338</v>
      </c>
      <c r="T70" s="194">
        <v>0.66666668653488159</v>
      </c>
      <c r="U70" s="194">
        <v>21</v>
      </c>
      <c r="V70" s="194">
        <v>0.85858583450317383</v>
      </c>
      <c r="W70" s="194">
        <v>0.720966637134552</v>
      </c>
      <c r="X70" s="194">
        <v>0.94569998979568481</v>
      </c>
      <c r="Y70" s="194">
        <v>0.92592591047286987</v>
      </c>
      <c r="Z70" s="194">
        <v>27</v>
      </c>
      <c r="AA70" s="194">
        <v>0.78021979331970215</v>
      </c>
      <c r="AB70" s="194">
        <v>0.71613150835037231</v>
      </c>
      <c r="AC70" s="194">
        <v>0.9505351185798645</v>
      </c>
      <c r="AD70" s="194">
        <v>0.69999998807907104</v>
      </c>
      <c r="AE70" s="194">
        <v>20</v>
      </c>
      <c r="AF70" s="194">
        <v>0.79787236452102661</v>
      </c>
      <c r="AG70" s="194">
        <v>0.71801692247390747</v>
      </c>
      <c r="AH70" s="194">
        <v>0.94864970445632935</v>
      </c>
      <c r="AI70" s="194">
        <v>0.8461538553237915</v>
      </c>
      <c r="AJ70" s="194">
        <v>26</v>
      </c>
      <c r="AK70" s="194">
        <v>0.82105261087417603</v>
      </c>
      <c r="AL70" s="194">
        <v>0.71862542629241943</v>
      </c>
      <c r="AM70" s="194">
        <v>0.94804120063781738</v>
      </c>
      <c r="AN70" s="194">
        <v>0.77272725105285645</v>
      </c>
      <c r="AO70" s="194">
        <v>22</v>
      </c>
      <c r="AP70" s="194">
        <v>0.74193549156188965</v>
      </c>
      <c r="AQ70" s="194">
        <v>0.71739858388900757</v>
      </c>
      <c r="AR70" s="194">
        <v>0.94926804304122925</v>
      </c>
      <c r="AS70" s="194">
        <v>0.63999998569488525</v>
      </c>
      <c r="AT70" s="194">
        <v>25</v>
      </c>
      <c r="AU70" s="194">
        <v>0.76530611515045166</v>
      </c>
      <c r="AV70" s="194">
        <v>0.72039484977722168</v>
      </c>
      <c r="AW70" s="194">
        <v>0.94627177715301514</v>
      </c>
      <c r="AX70" s="194">
        <v>0.80000001192092896</v>
      </c>
      <c r="AY70" s="194">
        <v>25</v>
      </c>
      <c r="AZ70" s="194">
        <v>0.76999998092651367</v>
      </c>
      <c r="BA70" s="194">
        <v>0.72152990102767944</v>
      </c>
      <c r="BB70" s="194">
        <v>0.94513672590255737</v>
      </c>
      <c r="BC70" s="194">
        <v>0.8571428656578064</v>
      </c>
      <c r="BD70" s="194">
        <v>28</v>
      </c>
      <c r="BE70" s="194">
        <v>0.83333331346511841</v>
      </c>
      <c r="BF70" s="55"/>
      <c r="BG70" s="55"/>
      <c r="BH70" s="55"/>
      <c r="BI70" s="55"/>
    </row>
    <row r="71" spans="1:61" x14ac:dyDescent="0.3">
      <c r="A71" s="193" t="s">
        <v>423</v>
      </c>
      <c r="B71" s="194"/>
      <c r="C71" s="194"/>
      <c r="D71" s="194"/>
      <c r="E71" s="194">
        <v>0.80000001192092896</v>
      </c>
      <c r="F71" s="194">
        <v>20</v>
      </c>
      <c r="G71" s="194"/>
      <c r="H71" s="194"/>
      <c r="I71" s="194"/>
      <c r="J71" s="194"/>
      <c r="K71" s="194"/>
      <c r="L71" s="194"/>
      <c r="M71" s="194"/>
      <c r="N71" s="194"/>
      <c r="O71" s="194">
        <v>0.68421053886413574</v>
      </c>
      <c r="P71" s="194">
        <v>19</v>
      </c>
      <c r="Q71" s="194"/>
      <c r="R71" s="194"/>
      <c r="S71" s="194"/>
      <c r="T71" s="194"/>
      <c r="U71" s="194"/>
      <c r="V71" s="194"/>
      <c r="W71" s="194"/>
      <c r="X71" s="194"/>
      <c r="Y71" s="194">
        <v>0.61538463830947876</v>
      </c>
      <c r="Z71" s="194">
        <v>13</v>
      </c>
      <c r="AA71" s="194"/>
      <c r="AB71" s="194"/>
      <c r="AC71" s="194"/>
      <c r="AD71" s="194">
        <v>0.69999998807907104</v>
      </c>
      <c r="AE71" s="194">
        <v>10</v>
      </c>
      <c r="AF71" s="194"/>
      <c r="AG71" s="194"/>
      <c r="AH71" s="194"/>
      <c r="AI71" s="194"/>
      <c r="AJ71" s="194"/>
      <c r="AK71" s="194"/>
      <c r="AL71" s="194"/>
      <c r="AM71" s="194"/>
      <c r="AN71" s="194">
        <v>0.73333334922790527</v>
      </c>
      <c r="AO71" s="194">
        <v>15</v>
      </c>
      <c r="AP71" s="194"/>
      <c r="AQ71" s="194"/>
      <c r="AR71" s="194"/>
      <c r="AS71" s="194">
        <v>0.8125</v>
      </c>
      <c r="AT71" s="194">
        <v>16</v>
      </c>
      <c r="AU71" s="194"/>
      <c r="AV71" s="194"/>
      <c r="AW71" s="194"/>
      <c r="AX71" s="194">
        <v>0.53333336114883423</v>
      </c>
      <c r="AY71" s="194">
        <v>15</v>
      </c>
      <c r="AZ71" s="194"/>
      <c r="BA71" s="194"/>
      <c r="BB71" s="194"/>
      <c r="BC71" s="194">
        <v>0.66666668653488159</v>
      </c>
      <c r="BD71" s="194">
        <v>15</v>
      </c>
      <c r="BE71" s="194"/>
      <c r="BF71" s="55"/>
      <c r="BG71" s="55"/>
      <c r="BH71" s="55"/>
      <c r="BI71" s="55"/>
    </row>
    <row r="72" spans="1:61" x14ac:dyDescent="0.3">
      <c r="A72" s="193" t="s">
        <v>374</v>
      </c>
      <c r="B72" s="194">
        <v>0.75362318754196167</v>
      </c>
      <c r="C72" s="194">
        <v>0.50972282886505127</v>
      </c>
      <c r="D72" s="194">
        <v>0.84710538387298584</v>
      </c>
      <c r="E72" s="194">
        <v>0.66666668653488159</v>
      </c>
      <c r="F72" s="194">
        <v>21</v>
      </c>
      <c r="G72" s="194">
        <v>0.74576270580291748</v>
      </c>
      <c r="H72" s="194">
        <v>0.49598625302314758</v>
      </c>
      <c r="I72" s="194">
        <v>0.86084198951721191</v>
      </c>
      <c r="J72" s="194">
        <v>0.72727274894714355</v>
      </c>
      <c r="K72" s="194">
        <v>11</v>
      </c>
      <c r="L72" s="194">
        <v>0.7321428656578064</v>
      </c>
      <c r="M72" s="194">
        <v>0.49116352200508118</v>
      </c>
      <c r="N72" s="194">
        <v>0.86566466093063354</v>
      </c>
      <c r="O72" s="194">
        <v>0.78571426868438721</v>
      </c>
      <c r="P72" s="194">
        <v>14</v>
      </c>
      <c r="Q72" s="194">
        <v>0.71014493703842163</v>
      </c>
      <c r="R72" s="194">
        <v>0.50972282886505127</v>
      </c>
      <c r="S72" s="194">
        <v>0.84710538387298584</v>
      </c>
      <c r="T72" s="194">
        <v>0.69565218687057495</v>
      </c>
      <c r="U72" s="194">
        <v>23</v>
      </c>
      <c r="V72" s="194">
        <v>0.74603176116943359</v>
      </c>
      <c r="W72" s="194">
        <v>0.50187253952026367</v>
      </c>
      <c r="X72" s="194">
        <v>0.85495567321777344</v>
      </c>
      <c r="Y72" s="194">
        <v>0.80000001192092896</v>
      </c>
      <c r="Z72" s="194">
        <v>15</v>
      </c>
      <c r="AA72" s="194">
        <v>0.74025976657867432</v>
      </c>
      <c r="AB72" s="194">
        <v>0.51872628927230835</v>
      </c>
      <c r="AC72" s="194">
        <v>0.83810192346572876</v>
      </c>
      <c r="AD72" s="194">
        <v>0.72000002861022949</v>
      </c>
      <c r="AE72" s="194">
        <v>25</v>
      </c>
      <c r="AF72" s="194">
        <v>0.69662922620773315</v>
      </c>
      <c r="AG72" s="194">
        <v>0.52988135814666748</v>
      </c>
      <c r="AH72" s="194">
        <v>0.82694685459136963</v>
      </c>
      <c r="AI72" s="194">
        <v>0.61538463830947876</v>
      </c>
      <c r="AJ72" s="194">
        <v>26</v>
      </c>
      <c r="AK72" s="194">
        <v>0.69318181276321411</v>
      </c>
      <c r="AL72" s="194">
        <v>0.52903980016708374</v>
      </c>
      <c r="AM72" s="194">
        <v>0.82778841257095337</v>
      </c>
      <c r="AN72" s="194">
        <v>0.68181818723678589</v>
      </c>
      <c r="AO72" s="194">
        <v>22</v>
      </c>
      <c r="AP72" s="194">
        <v>0.65934067964553833</v>
      </c>
      <c r="AQ72" s="194">
        <v>0.53152269124984741</v>
      </c>
      <c r="AR72" s="194">
        <v>0.8253055214881897</v>
      </c>
      <c r="AS72" s="194">
        <v>0.6111111044883728</v>
      </c>
      <c r="AT72" s="194">
        <v>18</v>
      </c>
      <c r="AU72" s="194">
        <v>0.66265058517456055</v>
      </c>
      <c r="AV72" s="194">
        <v>0.52460640668869019</v>
      </c>
      <c r="AW72" s="194">
        <v>0.83222180604934692</v>
      </c>
      <c r="AX72" s="194">
        <v>0.76470589637756348</v>
      </c>
      <c r="AY72" s="194">
        <v>17</v>
      </c>
      <c r="AZ72" s="194">
        <v>0.62195122241973877</v>
      </c>
      <c r="BA72" s="194">
        <v>0.52367138862609863</v>
      </c>
      <c r="BB72" s="194">
        <v>0.83315682411193848</v>
      </c>
      <c r="BC72" s="194">
        <v>0.47999998927116394</v>
      </c>
      <c r="BD72" s="194">
        <v>25</v>
      </c>
      <c r="BE72" s="194">
        <v>0.67841410636901855</v>
      </c>
      <c r="BF72" s="55"/>
      <c r="BG72" s="55"/>
      <c r="BH72" s="55"/>
      <c r="BI72" s="55"/>
    </row>
    <row r="73" spans="1:61" x14ac:dyDescent="0.3">
      <c r="A73" s="193" t="s">
        <v>512</v>
      </c>
      <c r="B73" s="194">
        <v>0.7638888955116272</v>
      </c>
      <c r="C73" s="194">
        <v>0.59837615489959717</v>
      </c>
      <c r="D73" s="194">
        <v>0.90406286716461182</v>
      </c>
      <c r="E73" s="194">
        <v>0.77272725105285645</v>
      </c>
      <c r="F73" s="194">
        <v>22</v>
      </c>
      <c r="G73" s="194">
        <v>0.76811593770980835</v>
      </c>
      <c r="H73" s="194">
        <v>0.59508883953094482</v>
      </c>
      <c r="I73" s="194">
        <v>0.90735018253326416</v>
      </c>
      <c r="J73" s="194">
        <v>0.91666668653488159</v>
      </c>
      <c r="K73" s="194">
        <v>12</v>
      </c>
      <c r="L73" s="194">
        <v>0.77966099977493286</v>
      </c>
      <c r="M73" s="194">
        <v>0.58237504959106445</v>
      </c>
      <c r="N73" s="194">
        <v>0.92006397247314453</v>
      </c>
      <c r="O73" s="194">
        <v>0.80000001192092896</v>
      </c>
      <c r="P73" s="194">
        <v>10</v>
      </c>
      <c r="Q73" s="194">
        <v>0.79104477167129517</v>
      </c>
      <c r="R73" s="194">
        <v>0.59277564287185669</v>
      </c>
      <c r="S73" s="194">
        <v>0.90966337919235229</v>
      </c>
      <c r="T73" s="194">
        <v>0.73913043737411499</v>
      </c>
      <c r="U73" s="194">
        <v>23</v>
      </c>
      <c r="V73" s="194">
        <v>0.78125</v>
      </c>
      <c r="W73" s="194">
        <v>0.58910465240478516</v>
      </c>
      <c r="X73" s="194">
        <v>0.91333436965942383</v>
      </c>
      <c r="Y73" s="194">
        <v>0.73684209585189819</v>
      </c>
      <c r="Z73" s="194">
        <v>19</v>
      </c>
      <c r="AA73" s="194">
        <v>0.70666664838790894</v>
      </c>
      <c r="AB73" s="194">
        <v>0.60146421194076538</v>
      </c>
      <c r="AC73" s="194">
        <v>0.9009748101234436</v>
      </c>
      <c r="AD73" s="194">
        <v>0.6086956262588501</v>
      </c>
      <c r="AE73" s="194">
        <v>23</v>
      </c>
      <c r="AF73" s="194">
        <v>0.72727274894714355</v>
      </c>
      <c r="AG73" s="194">
        <v>0.60342186689376831</v>
      </c>
      <c r="AH73" s="194">
        <v>0.89901715517044067</v>
      </c>
      <c r="AI73" s="194">
        <v>0.91666668653488159</v>
      </c>
      <c r="AJ73" s="194">
        <v>12</v>
      </c>
      <c r="AK73" s="194">
        <v>0.75</v>
      </c>
      <c r="AL73" s="194">
        <v>0.60245269536972046</v>
      </c>
      <c r="AM73" s="194">
        <v>0.89998632669448853</v>
      </c>
      <c r="AN73" s="194">
        <v>0.81818181276321411</v>
      </c>
      <c r="AO73" s="194">
        <v>22</v>
      </c>
      <c r="AP73" s="194">
        <v>0.74324321746826172</v>
      </c>
      <c r="AQ73" s="194">
        <v>0.60045576095581055</v>
      </c>
      <c r="AR73" s="194">
        <v>0.90198326110839844</v>
      </c>
      <c r="AS73" s="194">
        <v>0.70588237047195435</v>
      </c>
      <c r="AT73" s="194">
        <v>17</v>
      </c>
      <c r="AU73" s="194">
        <v>0.73529410362243652</v>
      </c>
      <c r="AV73" s="194">
        <v>0.5939449667930603</v>
      </c>
      <c r="AW73" s="194">
        <v>0.90849405527114868</v>
      </c>
      <c r="AX73" s="194">
        <v>0.52941179275512695</v>
      </c>
      <c r="AY73" s="194">
        <v>17</v>
      </c>
      <c r="AZ73" s="194">
        <v>0.75362318754196167</v>
      </c>
      <c r="BA73" s="194">
        <v>0.59508883953094482</v>
      </c>
      <c r="BB73" s="194">
        <v>0.90735018253326416</v>
      </c>
      <c r="BC73" s="194">
        <v>1</v>
      </c>
      <c r="BD73" s="194">
        <v>13</v>
      </c>
      <c r="BE73" s="194">
        <v>0.75121951103210449</v>
      </c>
      <c r="BF73" s="55"/>
      <c r="BG73" s="55"/>
      <c r="BH73" s="55"/>
      <c r="BI73" s="55"/>
    </row>
    <row r="74" spans="1:61" x14ac:dyDescent="0.3">
      <c r="A74" s="193" t="s">
        <v>528</v>
      </c>
      <c r="B74" s="194">
        <v>0.64935064315795898</v>
      </c>
      <c r="C74" s="194">
        <v>0.33312982320785522</v>
      </c>
      <c r="D74" s="194">
        <v>0.67500025033950806</v>
      </c>
      <c r="E74" s="194">
        <v>0.78571426868438721</v>
      </c>
      <c r="F74" s="194">
        <v>28</v>
      </c>
      <c r="G74" s="194">
        <v>0.66666668653488159</v>
      </c>
      <c r="H74" s="194">
        <v>0.31508904695510864</v>
      </c>
      <c r="I74" s="194">
        <v>0.69304102659225464</v>
      </c>
      <c r="J74" s="194"/>
      <c r="K74" s="194"/>
      <c r="L74" s="194">
        <v>0.61764705181121826</v>
      </c>
      <c r="M74" s="194">
        <v>0.32216933369636536</v>
      </c>
      <c r="N74" s="194">
        <v>0.68596076965332031</v>
      </c>
      <c r="O74" s="194">
        <v>0.45454546809196472</v>
      </c>
      <c r="P74" s="194">
        <v>22</v>
      </c>
      <c r="Q74" s="194">
        <v>0.63768118619918823</v>
      </c>
      <c r="R74" s="194">
        <v>0.32349222898483276</v>
      </c>
      <c r="S74" s="194">
        <v>0.68463784456253052</v>
      </c>
      <c r="T74" s="194">
        <v>0.63157892227172852</v>
      </c>
      <c r="U74" s="194">
        <v>19</v>
      </c>
      <c r="V74" s="194">
        <v>0.5901639461517334</v>
      </c>
      <c r="W74" s="194">
        <v>0.3120160698890686</v>
      </c>
      <c r="X74" s="194">
        <v>0.69611400365829468</v>
      </c>
      <c r="Y74" s="194">
        <v>0.69999998807907104</v>
      </c>
      <c r="Z74" s="194">
        <v>20</v>
      </c>
      <c r="AA74" s="194">
        <v>0.55421686172485352</v>
      </c>
      <c r="AB74" s="194">
        <v>0.33942407369613647</v>
      </c>
      <c r="AC74" s="194">
        <v>0.66870599985122681</v>
      </c>
      <c r="AD74" s="194">
        <v>0.45454546809196472</v>
      </c>
      <c r="AE74" s="194">
        <v>22</v>
      </c>
      <c r="AF74" s="194">
        <v>0.55555558204650879</v>
      </c>
      <c r="AG74" s="194">
        <v>0.33740386366844177</v>
      </c>
      <c r="AH74" s="194">
        <v>0.67072618007659912</v>
      </c>
      <c r="AI74" s="194">
        <v>0.44999998807907104</v>
      </c>
      <c r="AJ74" s="194">
        <v>20</v>
      </c>
      <c r="AK74" s="194">
        <v>0.52873563766479492</v>
      </c>
      <c r="AL74" s="194">
        <v>0.34325346350669861</v>
      </c>
      <c r="AM74" s="194">
        <v>0.66487658023834229</v>
      </c>
      <c r="AN74" s="194">
        <v>0.51999998092651367</v>
      </c>
      <c r="AO74" s="194">
        <v>25</v>
      </c>
      <c r="AP74" s="194">
        <v>0.47727271914482117</v>
      </c>
      <c r="AQ74" s="194">
        <v>0.34416979551315308</v>
      </c>
      <c r="AR74" s="194">
        <v>0.66396027803421021</v>
      </c>
      <c r="AS74" s="194">
        <v>0.4761904776096344</v>
      </c>
      <c r="AT74" s="194">
        <v>21</v>
      </c>
      <c r="AU74" s="194">
        <v>0.42105263471603394</v>
      </c>
      <c r="AV74" s="194">
        <v>0.35017338395118713</v>
      </c>
      <c r="AW74" s="194">
        <v>0.65795671939849854</v>
      </c>
      <c r="AX74" s="194">
        <v>0.27586206793785095</v>
      </c>
      <c r="AY74" s="194">
        <v>29</v>
      </c>
      <c r="AZ74" s="194">
        <v>0.38144329190254211</v>
      </c>
      <c r="BA74" s="194">
        <v>0.3517681360244751</v>
      </c>
      <c r="BB74" s="194">
        <v>0.65636193752288818</v>
      </c>
      <c r="BC74" s="194">
        <v>0.27272728085517883</v>
      </c>
      <c r="BD74" s="194">
        <v>22</v>
      </c>
      <c r="BE74" s="194">
        <v>0.50406503677368164</v>
      </c>
      <c r="BF74" s="55"/>
      <c r="BG74" s="55"/>
      <c r="BH74" s="55"/>
      <c r="BI74" s="55"/>
    </row>
    <row r="75" spans="1:61" x14ac:dyDescent="0.3">
      <c r="A75" s="193" t="s">
        <v>400</v>
      </c>
      <c r="B75" s="194"/>
      <c r="C75" s="194"/>
      <c r="D75" s="194"/>
      <c r="E75" s="194">
        <v>1</v>
      </c>
      <c r="F75" s="194">
        <v>12</v>
      </c>
      <c r="G75" s="194"/>
      <c r="H75" s="194"/>
      <c r="I75" s="194"/>
      <c r="J75" s="194"/>
      <c r="K75" s="194"/>
      <c r="L75" s="194"/>
      <c r="M75" s="194"/>
      <c r="N75" s="194"/>
      <c r="O75" s="194">
        <v>0.86666667461395264</v>
      </c>
      <c r="P75" s="194">
        <v>15</v>
      </c>
      <c r="Q75" s="194"/>
      <c r="R75" s="194"/>
      <c r="S75" s="194"/>
      <c r="T75" s="194"/>
      <c r="U75" s="194"/>
      <c r="V75" s="194"/>
      <c r="W75" s="194"/>
      <c r="X75" s="194"/>
      <c r="Y75" s="194">
        <v>0.85000002384185791</v>
      </c>
      <c r="Z75" s="194">
        <v>20</v>
      </c>
      <c r="AA75" s="194"/>
      <c r="AB75" s="194"/>
      <c r="AC75" s="194"/>
      <c r="AD75" s="194">
        <v>0.90909093618392944</v>
      </c>
      <c r="AE75" s="194">
        <v>11</v>
      </c>
      <c r="AF75" s="194"/>
      <c r="AG75" s="194"/>
      <c r="AH75" s="194"/>
      <c r="AI75" s="194"/>
      <c r="AJ75" s="194"/>
      <c r="AK75" s="194"/>
      <c r="AL75" s="194"/>
      <c r="AM75" s="194"/>
      <c r="AN75" s="194">
        <v>0.94444441795349121</v>
      </c>
      <c r="AO75" s="194">
        <v>18</v>
      </c>
      <c r="AP75" s="194"/>
      <c r="AQ75" s="194"/>
      <c r="AR75" s="194"/>
      <c r="AS75" s="194">
        <v>0.83333331346511841</v>
      </c>
      <c r="AT75" s="194">
        <v>12</v>
      </c>
      <c r="AU75" s="194"/>
      <c r="AV75" s="194"/>
      <c r="AW75" s="194"/>
      <c r="AX75" s="194">
        <v>0.86666667461395264</v>
      </c>
      <c r="AY75" s="194">
        <v>15</v>
      </c>
      <c r="AZ75" s="194"/>
      <c r="BA75" s="194"/>
      <c r="BB75" s="194"/>
      <c r="BC75" s="194">
        <v>1</v>
      </c>
      <c r="BD75" s="194">
        <v>15</v>
      </c>
      <c r="BE75" s="194"/>
      <c r="BF75" s="55"/>
      <c r="BG75" s="55"/>
      <c r="BH75" s="55"/>
      <c r="BI75" s="55"/>
    </row>
    <row r="76" spans="1:61" x14ac:dyDescent="0.3">
      <c r="A76" s="193" t="s">
        <v>540</v>
      </c>
      <c r="B76" s="194"/>
      <c r="C76" s="194"/>
      <c r="D76" s="194"/>
      <c r="E76" s="194">
        <v>0.80000001192092896</v>
      </c>
      <c r="F76" s="194">
        <v>20</v>
      </c>
      <c r="G76" s="194"/>
      <c r="H76" s="194"/>
      <c r="I76" s="194"/>
      <c r="J76" s="194">
        <v>0.92307692766189575</v>
      </c>
      <c r="K76" s="194">
        <v>13</v>
      </c>
      <c r="L76" s="194"/>
      <c r="M76" s="194"/>
      <c r="N76" s="194"/>
      <c r="O76" s="194"/>
      <c r="P76" s="194"/>
      <c r="Q76" s="194"/>
      <c r="R76" s="194"/>
      <c r="S76" s="194"/>
      <c r="T76" s="194">
        <v>0.9047619104385376</v>
      </c>
      <c r="U76" s="194">
        <v>21</v>
      </c>
      <c r="V76" s="194"/>
      <c r="W76" s="194"/>
      <c r="X76" s="194"/>
      <c r="Y76" s="194"/>
      <c r="Z76" s="194"/>
      <c r="AA76" s="194"/>
      <c r="AB76" s="194"/>
      <c r="AC76" s="194"/>
      <c r="AD76" s="194">
        <v>0.58333331346511841</v>
      </c>
      <c r="AE76" s="194">
        <v>12</v>
      </c>
      <c r="AF76" s="194"/>
      <c r="AG76" s="194"/>
      <c r="AH76" s="194"/>
      <c r="AI76" s="194"/>
      <c r="AJ76" s="194"/>
      <c r="AK76" s="194"/>
      <c r="AL76" s="194"/>
      <c r="AM76" s="194"/>
      <c r="AN76" s="194">
        <v>0.73333334922790527</v>
      </c>
      <c r="AO76" s="194">
        <v>15</v>
      </c>
      <c r="AP76" s="194"/>
      <c r="AQ76" s="194"/>
      <c r="AR76" s="194"/>
      <c r="AS76" s="194">
        <v>0.69999998807907104</v>
      </c>
      <c r="AT76" s="194">
        <v>10</v>
      </c>
      <c r="AU76" s="194"/>
      <c r="AV76" s="194"/>
      <c r="AW76" s="194"/>
      <c r="AX76" s="194">
        <v>0.58333331346511841</v>
      </c>
      <c r="AY76" s="194">
        <v>12</v>
      </c>
      <c r="AZ76" s="194"/>
      <c r="BA76" s="194"/>
      <c r="BB76" s="194"/>
      <c r="BC76" s="194"/>
      <c r="BD76" s="194"/>
      <c r="BE76" s="194"/>
      <c r="BF76" s="55"/>
      <c r="BG76" s="55"/>
      <c r="BH76" s="55"/>
      <c r="BI76" s="55"/>
    </row>
    <row r="77" spans="1:61" x14ac:dyDescent="0.3">
      <c r="A77" s="193" t="s">
        <v>337</v>
      </c>
      <c r="B77" s="194">
        <v>0.9375</v>
      </c>
      <c r="C77" s="194">
        <v>0.53168195486068726</v>
      </c>
      <c r="D77" s="194">
        <v>0.98555940389633179</v>
      </c>
      <c r="E77" s="194">
        <v>0.875</v>
      </c>
      <c r="F77" s="194">
        <v>16</v>
      </c>
      <c r="G77" s="194">
        <v>0.9375</v>
      </c>
      <c r="H77" s="194">
        <v>0.53168195486068726</v>
      </c>
      <c r="I77" s="194">
        <v>0.98555940389633179</v>
      </c>
      <c r="J77" s="194"/>
      <c r="K77" s="194"/>
      <c r="L77" s="194">
        <v>0.86206895112991333</v>
      </c>
      <c r="M77" s="194">
        <v>0.52023255825042725</v>
      </c>
      <c r="N77" s="194">
        <v>0.9970088005065918</v>
      </c>
      <c r="O77" s="194">
        <v>0.8461538553237915</v>
      </c>
      <c r="P77" s="194">
        <v>13</v>
      </c>
      <c r="Q77" s="194">
        <v>0.86206895112991333</v>
      </c>
      <c r="R77" s="194">
        <v>0.52023255825042725</v>
      </c>
      <c r="S77" s="194">
        <v>0.9970088005065918</v>
      </c>
      <c r="T77" s="194"/>
      <c r="U77" s="194"/>
      <c r="V77" s="194">
        <v>0.86956518888473511</v>
      </c>
      <c r="W77" s="194">
        <v>0.49093833565711975</v>
      </c>
      <c r="X77" s="194">
        <v>1</v>
      </c>
      <c r="Y77" s="194">
        <v>0.89999997615814209</v>
      </c>
      <c r="Z77" s="194">
        <v>10</v>
      </c>
      <c r="AA77" s="194">
        <v>0.8571428656578064</v>
      </c>
      <c r="AB77" s="194">
        <v>0.5416257381439209</v>
      </c>
      <c r="AC77" s="194">
        <v>0.97561562061309814</v>
      </c>
      <c r="AD77" s="194">
        <v>0.83333331346511841</v>
      </c>
      <c r="AE77" s="194">
        <v>12</v>
      </c>
      <c r="AF77" s="194">
        <v>0.73529410362243652</v>
      </c>
      <c r="AG77" s="194">
        <v>0.53845775127410889</v>
      </c>
      <c r="AH77" s="194">
        <v>0.97878360748291016</v>
      </c>
      <c r="AI77" s="194">
        <v>0.5</v>
      </c>
      <c r="AJ77" s="194">
        <v>12</v>
      </c>
      <c r="AK77" s="194">
        <v>0.75</v>
      </c>
      <c r="AL77" s="194">
        <v>0.56508666276931763</v>
      </c>
      <c r="AM77" s="194">
        <v>0.95215469598770142</v>
      </c>
      <c r="AN77" s="194">
        <v>0.80000001192092896</v>
      </c>
      <c r="AO77" s="194">
        <v>10</v>
      </c>
      <c r="AP77" s="194">
        <v>0.68888890743255615</v>
      </c>
      <c r="AQ77" s="194">
        <v>0.5672491192817688</v>
      </c>
      <c r="AR77" s="194">
        <v>0.94999223947525024</v>
      </c>
      <c r="AS77" s="194">
        <v>0.63636362552642822</v>
      </c>
      <c r="AT77" s="194">
        <v>11</v>
      </c>
      <c r="AU77" s="194">
        <v>0.67441862821578979</v>
      </c>
      <c r="AV77" s="194">
        <v>0.56284922361373901</v>
      </c>
      <c r="AW77" s="194">
        <v>0.95439213514328003</v>
      </c>
      <c r="AX77" s="194">
        <v>0.80000001192092896</v>
      </c>
      <c r="AY77" s="194">
        <v>10</v>
      </c>
      <c r="AZ77" s="194">
        <v>0.71698111295700073</v>
      </c>
      <c r="BA77" s="194">
        <v>0.58228278160095215</v>
      </c>
      <c r="BB77" s="194">
        <v>0.93495857715606689</v>
      </c>
      <c r="BC77" s="194">
        <v>0.68181818723678589</v>
      </c>
      <c r="BD77" s="194">
        <v>22</v>
      </c>
      <c r="BE77" s="194">
        <v>0.75862067937850952</v>
      </c>
      <c r="BF77" s="55"/>
      <c r="BG77" s="55"/>
      <c r="BH77" s="55"/>
      <c r="BI77" s="55"/>
    </row>
    <row r="78" spans="1:61" x14ac:dyDescent="0.3">
      <c r="A78" s="193" t="s">
        <v>482</v>
      </c>
      <c r="B78" s="194">
        <v>0.87142854928970337</v>
      </c>
      <c r="C78" s="194">
        <v>0.73246359825134277</v>
      </c>
      <c r="D78" s="194">
        <v>0.98298358917236328</v>
      </c>
      <c r="E78" s="194">
        <v>0.96153843402862549</v>
      </c>
      <c r="F78" s="194">
        <v>26</v>
      </c>
      <c r="G78" s="194">
        <v>0.90666669607162476</v>
      </c>
      <c r="H78" s="194">
        <v>0.73671096563339233</v>
      </c>
      <c r="I78" s="194">
        <v>0.97873622179031372</v>
      </c>
      <c r="J78" s="194">
        <v>1</v>
      </c>
      <c r="K78" s="194">
        <v>22</v>
      </c>
      <c r="L78" s="194">
        <v>0.91111111640930176</v>
      </c>
      <c r="M78" s="194">
        <v>0.74725466966629028</v>
      </c>
      <c r="N78" s="194">
        <v>0.96819251775741577</v>
      </c>
      <c r="O78" s="194">
        <v>0.92592591047286987</v>
      </c>
      <c r="P78" s="194">
        <v>27</v>
      </c>
      <c r="Q78" s="194">
        <v>0.96808511018753052</v>
      </c>
      <c r="R78" s="194">
        <v>0.7496306300163269</v>
      </c>
      <c r="S78" s="194">
        <v>0.96581655740737915</v>
      </c>
      <c r="T78" s="194">
        <v>1</v>
      </c>
      <c r="U78" s="194">
        <v>19</v>
      </c>
      <c r="V78" s="194">
        <v>0.93103450536727905</v>
      </c>
      <c r="W78" s="194">
        <v>0.74536615610122681</v>
      </c>
      <c r="X78" s="194">
        <v>0.97008103132247925</v>
      </c>
      <c r="Y78" s="194">
        <v>0.78947371244430542</v>
      </c>
      <c r="Z78" s="194">
        <v>19</v>
      </c>
      <c r="AA78" s="194">
        <v>0.90909093618392944</v>
      </c>
      <c r="AB78" s="194">
        <v>0.74600636959075928</v>
      </c>
      <c r="AC78" s="194">
        <v>0.96944081783294678</v>
      </c>
      <c r="AD78" s="194">
        <v>0.91304349899291992</v>
      </c>
      <c r="AE78" s="194">
        <v>23</v>
      </c>
      <c r="AF78" s="194">
        <v>0.89887642860412598</v>
      </c>
      <c r="AG78" s="194">
        <v>0.7466357946395874</v>
      </c>
      <c r="AH78" s="194">
        <v>0.96881139278411865</v>
      </c>
      <c r="AI78" s="194">
        <v>0.8928571343421936</v>
      </c>
      <c r="AJ78" s="194">
        <v>28</v>
      </c>
      <c r="AK78" s="194">
        <v>0.81318682432174683</v>
      </c>
      <c r="AL78" s="194">
        <v>0.7478632926940918</v>
      </c>
      <c r="AM78" s="194">
        <v>0.96758389472961426</v>
      </c>
      <c r="AN78" s="194">
        <v>0.61904764175415039</v>
      </c>
      <c r="AO78" s="194">
        <v>21</v>
      </c>
      <c r="AP78" s="194">
        <v>0.82558137178421021</v>
      </c>
      <c r="AQ78" s="194">
        <v>0.74471479654312134</v>
      </c>
      <c r="AR78" s="194">
        <v>0.97073239088058472</v>
      </c>
      <c r="AS78" s="194">
        <v>0.8571428656578064</v>
      </c>
      <c r="AT78" s="194">
        <v>14</v>
      </c>
      <c r="AU78" s="194">
        <v>0.78750002384185791</v>
      </c>
      <c r="AV78" s="194">
        <v>0.74055361747741699</v>
      </c>
      <c r="AW78" s="194">
        <v>0.97489356994628906</v>
      </c>
      <c r="AX78" s="194">
        <v>0.76470589637756348</v>
      </c>
      <c r="AY78" s="194">
        <v>17</v>
      </c>
      <c r="AZ78" s="194">
        <v>0.73134326934814453</v>
      </c>
      <c r="BA78" s="194">
        <v>0.72969001531600952</v>
      </c>
      <c r="BB78" s="194">
        <v>0.98575717210769653</v>
      </c>
      <c r="BC78" s="194">
        <v>0.73333334922790527</v>
      </c>
      <c r="BD78" s="194">
        <v>15</v>
      </c>
      <c r="BE78" s="194">
        <v>0.85772359371185303</v>
      </c>
      <c r="BF78" s="55"/>
      <c r="BG78" s="55"/>
      <c r="BH78" s="55"/>
      <c r="BI78" s="55"/>
    </row>
    <row r="79" spans="1:61" x14ac:dyDescent="0.3">
      <c r="A79" s="193" t="s">
        <v>546</v>
      </c>
      <c r="B79" s="194"/>
      <c r="C79" s="194"/>
      <c r="D79" s="194"/>
      <c r="E79" s="194">
        <v>0.72727274894714355</v>
      </c>
      <c r="F79" s="194">
        <v>11</v>
      </c>
      <c r="G79" s="194"/>
      <c r="H79" s="194"/>
      <c r="I79" s="194"/>
      <c r="J79" s="194">
        <v>0.84210526943206787</v>
      </c>
      <c r="K79" s="194">
        <v>19</v>
      </c>
      <c r="L79" s="194"/>
      <c r="M79" s="194"/>
      <c r="N79" s="194"/>
      <c r="O79" s="194">
        <v>0.52631580829620361</v>
      </c>
      <c r="P79" s="194">
        <v>19</v>
      </c>
      <c r="Q79" s="194"/>
      <c r="R79" s="194"/>
      <c r="S79" s="194"/>
      <c r="T79" s="194">
        <v>0.53333336114883423</v>
      </c>
      <c r="U79" s="194">
        <v>15</v>
      </c>
      <c r="V79" s="194"/>
      <c r="W79" s="194"/>
      <c r="X79" s="194"/>
      <c r="Y79" s="194">
        <v>0.77777779102325439</v>
      </c>
      <c r="Z79" s="194">
        <v>18</v>
      </c>
      <c r="AA79" s="194"/>
      <c r="AB79" s="194"/>
      <c r="AC79" s="194"/>
      <c r="AD79" s="194">
        <v>0.8571428656578064</v>
      </c>
      <c r="AE79" s="194">
        <v>14</v>
      </c>
      <c r="AF79" s="194"/>
      <c r="AG79" s="194"/>
      <c r="AH79" s="194"/>
      <c r="AI79" s="194"/>
      <c r="AJ79" s="194"/>
      <c r="AK79" s="194"/>
      <c r="AL79" s="194"/>
      <c r="AM79" s="194"/>
      <c r="AN79" s="194">
        <v>1</v>
      </c>
      <c r="AO79" s="194">
        <v>10</v>
      </c>
      <c r="AP79" s="194"/>
      <c r="AQ79" s="194"/>
      <c r="AR79" s="194"/>
      <c r="AS79" s="194">
        <v>0.8571428656578064</v>
      </c>
      <c r="AT79" s="194">
        <v>14</v>
      </c>
      <c r="AU79" s="194"/>
      <c r="AV79" s="194"/>
      <c r="AW79" s="194"/>
      <c r="AX79" s="194"/>
      <c r="AY79" s="194"/>
      <c r="AZ79" s="194"/>
      <c r="BA79" s="194"/>
      <c r="BB79" s="194"/>
      <c r="BC79" s="194">
        <v>0.9375</v>
      </c>
      <c r="BD79" s="194">
        <v>16</v>
      </c>
      <c r="BE79" s="194"/>
      <c r="BF79" s="55"/>
      <c r="BG79" s="55"/>
      <c r="BH79" s="55"/>
      <c r="BI79" s="55"/>
    </row>
    <row r="80" spans="1:61" x14ac:dyDescent="0.3">
      <c r="A80" s="193" t="s">
        <v>303</v>
      </c>
      <c r="B80" s="194">
        <v>0.79545456171035767</v>
      </c>
      <c r="C80" s="194">
        <v>0.70611482858657837</v>
      </c>
      <c r="D80" s="194">
        <v>1</v>
      </c>
      <c r="E80" s="194">
        <v>0.91666668653488159</v>
      </c>
      <c r="F80" s="194">
        <v>12</v>
      </c>
      <c r="G80" s="194">
        <v>0.7450980544090271</v>
      </c>
      <c r="H80" s="194">
        <v>0.71721237897872925</v>
      </c>
      <c r="I80" s="194">
        <v>1</v>
      </c>
      <c r="J80" s="194">
        <v>0.68421053886413574</v>
      </c>
      <c r="K80" s="194">
        <v>19</v>
      </c>
      <c r="L80" s="194">
        <v>0.80000001192092896</v>
      </c>
      <c r="M80" s="194">
        <v>0.7337571382522583</v>
      </c>
      <c r="N80" s="194">
        <v>0.99038076400756836</v>
      </c>
      <c r="O80" s="194">
        <v>1</v>
      </c>
      <c r="P80" s="194">
        <v>14</v>
      </c>
      <c r="Q80" s="194">
        <v>0.8461538553237915</v>
      </c>
      <c r="R80" s="194">
        <v>0.7337571382522583</v>
      </c>
      <c r="S80" s="194">
        <v>0.99038076400756836</v>
      </c>
      <c r="T80" s="194">
        <v>0.85000002384185791</v>
      </c>
      <c r="U80" s="194">
        <v>20</v>
      </c>
      <c r="V80" s="194">
        <v>0.82608693838119507</v>
      </c>
      <c r="W80" s="194">
        <v>0.73753184080123901</v>
      </c>
      <c r="X80" s="194">
        <v>0.98660606145858765</v>
      </c>
      <c r="Y80" s="194">
        <v>0.8125</v>
      </c>
      <c r="Z80" s="194">
        <v>16</v>
      </c>
      <c r="AA80" s="194">
        <v>0.90163934230804443</v>
      </c>
      <c r="AB80" s="194">
        <v>0.72961699962615967</v>
      </c>
      <c r="AC80" s="194">
        <v>0.99452090263366699</v>
      </c>
      <c r="AD80" s="194">
        <v>1</v>
      </c>
      <c r="AE80" s="194">
        <v>11</v>
      </c>
      <c r="AF80" s="194">
        <v>0.87234044075012207</v>
      </c>
      <c r="AG80" s="194">
        <v>0.7111741304397583</v>
      </c>
      <c r="AH80" s="194">
        <v>1</v>
      </c>
      <c r="AI80" s="194"/>
      <c r="AJ80" s="194"/>
      <c r="AK80" s="194">
        <v>0.93023258447647095</v>
      </c>
      <c r="AL80" s="194">
        <v>0.7043117880821228</v>
      </c>
      <c r="AM80" s="194">
        <v>1</v>
      </c>
      <c r="AN80" s="194">
        <v>1</v>
      </c>
      <c r="AO80" s="194">
        <v>16</v>
      </c>
      <c r="AP80" s="194">
        <v>1</v>
      </c>
      <c r="AQ80" s="194">
        <v>0.66298264265060425</v>
      </c>
      <c r="AR80" s="194">
        <v>1</v>
      </c>
      <c r="AS80" s="194"/>
      <c r="AT80" s="194"/>
      <c r="AU80" s="194">
        <v>0.92105263471603394</v>
      </c>
      <c r="AV80" s="194">
        <v>0.69425368309020996</v>
      </c>
      <c r="AW80" s="194">
        <v>1</v>
      </c>
      <c r="AX80" s="194">
        <v>0.86363637447357178</v>
      </c>
      <c r="AY80" s="194">
        <v>22</v>
      </c>
      <c r="AZ80" s="194">
        <v>0.91935485601425171</v>
      </c>
      <c r="BA80" s="194">
        <v>0.73068952560424805</v>
      </c>
      <c r="BB80" s="194">
        <v>0.99344837665557861</v>
      </c>
      <c r="BC80" s="194">
        <v>0.91666668653488159</v>
      </c>
      <c r="BD80" s="194">
        <v>24</v>
      </c>
      <c r="BE80" s="194">
        <v>0.86206895112991333</v>
      </c>
      <c r="BF80" s="55"/>
      <c r="BG80" s="55"/>
      <c r="BH80" s="55"/>
      <c r="BI80" s="55"/>
    </row>
    <row r="81" spans="1:61" x14ac:dyDescent="0.3">
      <c r="A81" s="193" t="s">
        <v>433</v>
      </c>
      <c r="B81" s="194">
        <v>0.64583331346511841</v>
      </c>
      <c r="C81" s="194">
        <v>0.36744260787963867</v>
      </c>
      <c r="D81" s="194">
        <v>0.67337369918823242</v>
      </c>
      <c r="E81" s="194">
        <v>0.64999997615814209</v>
      </c>
      <c r="F81" s="194">
        <v>20</v>
      </c>
      <c r="G81" s="194">
        <v>0.62765955924987793</v>
      </c>
      <c r="H81" s="194">
        <v>0.365823894739151</v>
      </c>
      <c r="I81" s="194">
        <v>0.67499244213104248</v>
      </c>
      <c r="J81" s="194">
        <v>0.5</v>
      </c>
      <c r="K81" s="194">
        <v>12</v>
      </c>
      <c r="L81" s="194">
        <v>0.61643832921981812</v>
      </c>
      <c r="M81" s="194">
        <v>0.34499272704124451</v>
      </c>
      <c r="N81" s="194">
        <v>0.6958235502243042</v>
      </c>
      <c r="O81" s="194">
        <v>0.73333334922790527</v>
      </c>
      <c r="P81" s="194">
        <v>15</v>
      </c>
      <c r="Q81" s="194">
        <v>0.66666668653488159</v>
      </c>
      <c r="R81" s="194">
        <v>0.33592477440834045</v>
      </c>
      <c r="S81" s="194">
        <v>0.70489150285720825</v>
      </c>
      <c r="T81" s="194">
        <v>0.73684209585189819</v>
      </c>
      <c r="U81" s="194">
        <v>19</v>
      </c>
      <c r="V81" s="194">
        <v>0.67796611785888672</v>
      </c>
      <c r="W81" s="194">
        <v>0.32528752088546753</v>
      </c>
      <c r="X81" s="194">
        <v>0.71552878618240356</v>
      </c>
      <c r="Y81" s="194">
        <v>0.69230771064758301</v>
      </c>
      <c r="Z81" s="194">
        <v>13</v>
      </c>
      <c r="AA81" s="194">
        <v>0.62903225421905518</v>
      </c>
      <c r="AB81" s="194">
        <v>0.33006671071052551</v>
      </c>
      <c r="AC81" s="194">
        <v>0.71074956655502319</v>
      </c>
      <c r="AD81" s="194">
        <v>0.3333333432674408</v>
      </c>
      <c r="AE81" s="194">
        <v>15</v>
      </c>
      <c r="AF81" s="194">
        <v>0.56896549463272095</v>
      </c>
      <c r="AG81" s="194">
        <v>0.32361263036727905</v>
      </c>
      <c r="AH81" s="194">
        <v>0.71720367670059204</v>
      </c>
      <c r="AI81" s="194">
        <v>0.45454546809196472</v>
      </c>
      <c r="AJ81" s="194">
        <v>11</v>
      </c>
      <c r="AK81" s="194">
        <v>0.46296295523643494</v>
      </c>
      <c r="AL81" s="194">
        <v>0.31645411252975464</v>
      </c>
      <c r="AM81" s="194">
        <v>0.72436219453811646</v>
      </c>
      <c r="AN81" s="194">
        <v>0.40000000596046448</v>
      </c>
      <c r="AO81" s="194">
        <v>15</v>
      </c>
      <c r="AP81" s="194">
        <v>0.37704917788505554</v>
      </c>
      <c r="AQ81" s="194">
        <v>0.32851287722587585</v>
      </c>
      <c r="AR81" s="194">
        <v>0.71230340003967285</v>
      </c>
      <c r="AS81" s="194">
        <v>0.34999999403953552</v>
      </c>
      <c r="AT81" s="194">
        <v>20</v>
      </c>
      <c r="AU81" s="194">
        <v>0.37704917788505554</v>
      </c>
      <c r="AV81" s="194">
        <v>0.32851287722587585</v>
      </c>
      <c r="AW81" s="194">
        <v>0.71230340003967285</v>
      </c>
      <c r="AX81" s="194">
        <v>0.3333333432674408</v>
      </c>
      <c r="AY81" s="194">
        <v>15</v>
      </c>
      <c r="AZ81" s="194">
        <v>0.36923077702522278</v>
      </c>
      <c r="BA81" s="194">
        <v>0.33451110124588013</v>
      </c>
      <c r="BB81" s="194">
        <v>0.70630520582199097</v>
      </c>
      <c r="BC81" s="194">
        <v>0.40000000596046448</v>
      </c>
      <c r="BD81" s="194">
        <v>15</v>
      </c>
      <c r="BE81" s="194">
        <v>0.52040815353393555</v>
      </c>
      <c r="BF81" s="55"/>
      <c r="BG81" s="55"/>
      <c r="BH81" s="55"/>
      <c r="BI81" s="55"/>
    </row>
    <row r="82" spans="1:61" x14ac:dyDescent="0.3">
      <c r="A82" s="193" t="s">
        <v>348</v>
      </c>
      <c r="B82" s="194">
        <v>0.97058820724487305</v>
      </c>
      <c r="C82" s="194">
        <v>0.8230743408203125</v>
      </c>
      <c r="D82" s="194">
        <v>1</v>
      </c>
      <c r="E82" s="194"/>
      <c r="F82" s="194"/>
      <c r="G82" s="194">
        <v>0.9649122953414917</v>
      </c>
      <c r="H82" s="194">
        <v>0.85030406713485718</v>
      </c>
      <c r="I82" s="194">
        <v>1</v>
      </c>
      <c r="J82" s="194">
        <v>0.95652174949645996</v>
      </c>
      <c r="K82" s="194">
        <v>23</v>
      </c>
      <c r="L82" s="194">
        <v>0.92592591047286987</v>
      </c>
      <c r="M82" s="194">
        <v>0.84777283668518066</v>
      </c>
      <c r="N82" s="194">
        <v>1</v>
      </c>
      <c r="O82" s="194">
        <v>0.8571428656578064</v>
      </c>
      <c r="P82" s="194">
        <v>21</v>
      </c>
      <c r="Q82" s="194">
        <v>0.93103450536727905</v>
      </c>
      <c r="R82" s="194">
        <v>0.85110384225845337</v>
      </c>
      <c r="S82" s="194">
        <v>1</v>
      </c>
      <c r="T82" s="194">
        <v>1</v>
      </c>
      <c r="U82" s="194">
        <v>14</v>
      </c>
      <c r="V82" s="194">
        <v>0.94202899932861328</v>
      </c>
      <c r="W82" s="194">
        <v>0.85871970653533936</v>
      </c>
      <c r="X82" s="194">
        <v>1</v>
      </c>
      <c r="Y82" s="194">
        <v>1</v>
      </c>
      <c r="Z82" s="194">
        <v>11</v>
      </c>
      <c r="AA82" s="194">
        <v>0.93478262424468994</v>
      </c>
      <c r="AB82" s="194">
        <v>0.83985114097595215</v>
      </c>
      <c r="AC82" s="194">
        <v>1</v>
      </c>
      <c r="AD82" s="194"/>
      <c r="AE82" s="194"/>
      <c r="AF82" s="194">
        <v>0.97560977935791016</v>
      </c>
      <c r="AG82" s="194">
        <v>0.83376169204711914</v>
      </c>
      <c r="AH82" s="194">
        <v>1</v>
      </c>
      <c r="AI82" s="194">
        <v>0.9375</v>
      </c>
      <c r="AJ82" s="194">
        <v>16</v>
      </c>
      <c r="AK82" s="194">
        <v>0.97619044780731201</v>
      </c>
      <c r="AL82" s="194">
        <v>0.83506608009338379</v>
      </c>
      <c r="AM82" s="194">
        <v>1</v>
      </c>
      <c r="AN82" s="194">
        <v>1</v>
      </c>
      <c r="AO82" s="194">
        <v>15</v>
      </c>
      <c r="AP82" s="194">
        <v>0.98039215803146362</v>
      </c>
      <c r="AQ82" s="194">
        <v>0.84502148628234863</v>
      </c>
      <c r="AR82" s="194">
        <v>1</v>
      </c>
      <c r="AS82" s="194">
        <v>1</v>
      </c>
      <c r="AT82" s="194">
        <v>20</v>
      </c>
      <c r="AU82" s="194">
        <v>0.98039215803146362</v>
      </c>
      <c r="AV82" s="194">
        <v>0.84502148628234863</v>
      </c>
      <c r="AW82" s="194">
        <v>1</v>
      </c>
      <c r="AX82" s="194"/>
      <c r="AY82" s="194"/>
      <c r="AZ82" s="194">
        <v>0.93548387289047241</v>
      </c>
      <c r="BA82" s="194">
        <v>0.85410696268081665</v>
      </c>
      <c r="BB82" s="194">
        <v>1</v>
      </c>
      <c r="BC82" s="194">
        <v>0.85185188055038452</v>
      </c>
      <c r="BD82" s="194">
        <v>27</v>
      </c>
      <c r="BE82" s="194">
        <v>0.94267517328262329</v>
      </c>
      <c r="BF82" s="55"/>
      <c r="BG82" s="55"/>
      <c r="BH82" s="55"/>
      <c r="BI82" s="55"/>
    </row>
    <row r="83" spans="1:61" x14ac:dyDescent="0.3">
      <c r="A83" s="193" t="s">
        <v>410</v>
      </c>
      <c r="B83" s="194">
        <v>0.73750001192092896</v>
      </c>
      <c r="C83" s="194">
        <v>0.49914157390594482</v>
      </c>
      <c r="D83" s="194">
        <v>0.81731414794921875</v>
      </c>
      <c r="E83" s="194">
        <v>0.77777779102325439</v>
      </c>
      <c r="F83" s="194">
        <v>18</v>
      </c>
      <c r="G83" s="194">
        <v>0.77027028799057007</v>
      </c>
      <c r="H83" s="194">
        <v>0.49281781911849976</v>
      </c>
      <c r="I83" s="194">
        <v>0.82363790273666382</v>
      </c>
      <c r="J83" s="194">
        <v>0.64705884456634521</v>
      </c>
      <c r="K83" s="194">
        <v>17</v>
      </c>
      <c r="L83" s="194">
        <v>0.77333331108093262</v>
      </c>
      <c r="M83" s="194">
        <v>0.49392426013946533</v>
      </c>
      <c r="N83" s="194">
        <v>0.82253146171569824</v>
      </c>
      <c r="O83" s="194">
        <v>0.68181818723678589</v>
      </c>
      <c r="P83" s="194">
        <v>22</v>
      </c>
      <c r="Q83" s="194">
        <v>0.71052628755569458</v>
      </c>
      <c r="R83" s="194">
        <v>0.49500879645347595</v>
      </c>
      <c r="S83" s="194">
        <v>0.82144695520401001</v>
      </c>
      <c r="T83" s="194">
        <v>0.73684209585189819</v>
      </c>
      <c r="U83" s="194">
        <v>19</v>
      </c>
      <c r="V83" s="194">
        <v>0.66666668653488159</v>
      </c>
      <c r="W83" s="194">
        <v>0.50012665987014771</v>
      </c>
      <c r="X83" s="194">
        <v>0.81632906198501587</v>
      </c>
      <c r="Y83" s="194">
        <v>0.6086956262588501</v>
      </c>
      <c r="Z83" s="194">
        <v>23</v>
      </c>
      <c r="AA83" s="194">
        <v>0.67777776718139648</v>
      </c>
      <c r="AB83" s="194">
        <v>0.50823986530303955</v>
      </c>
      <c r="AC83" s="194">
        <v>0.80821585655212402</v>
      </c>
      <c r="AD83" s="194">
        <v>0.69230771064758301</v>
      </c>
      <c r="AE83" s="194">
        <v>26</v>
      </c>
      <c r="AF83" s="194">
        <v>0.61538463830947876</v>
      </c>
      <c r="AG83" s="194">
        <v>0.50906628370285034</v>
      </c>
      <c r="AH83" s="194">
        <v>0.80738943815231323</v>
      </c>
      <c r="AI83" s="194">
        <v>0.43478259444236755</v>
      </c>
      <c r="AJ83" s="194">
        <v>23</v>
      </c>
      <c r="AK83" s="194">
        <v>0.57831323146820068</v>
      </c>
      <c r="AL83" s="194">
        <v>0.50204306840896606</v>
      </c>
      <c r="AM83" s="194">
        <v>0.81441265344619751</v>
      </c>
      <c r="AN83" s="194">
        <v>0.54545456171035767</v>
      </c>
      <c r="AO83" s="194">
        <v>11</v>
      </c>
      <c r="AP83" s="194">
        <v>0.56338030099868774</v>
      </c>
      <c r="AQ83" s="194">
        <v>0.48935940861701965</v>
      </c>
      <c r="AR83" s="194">
        <v>0.82709634304046631</v>
      </c>
      <c r="AS83" s="194">
        <v>0.54545456171035767</v>
      </c>
      <c r="AT83" s="194">
        <v>11</v>
      </c>
      <c r="AU83" s="194">
        <v>0.47222220897674561</v>
      </c>
      <c r="AV83" s="194">
        <v>0.49053621292114258</v>
      </c>
      <c r="AW83" s="194">
        <v>0.825919508934021</v>
      </c>
      <c r="AX83" s="194">
        <v>0.4444444477558136</v>
      </c>
      <c r="AY83" s="194">
        <v>27</v>
      </c>
      <c r="AZ83" s="194">
        <v>0.59154927730560303</v>
      </c>
      <c r="BA83" s="194">
        <v>0.48935940861701965</v>
      </c>
      <c r="BB83" s="194">
        <v>0.82709634304046631</v>
      </c>
      <c r="BC83" s="194">
        <v>0.81818181276321411</v>
      </c>
      <c r="BD83" s="194">
        <v>22</v>
      </c>
      <c r="BE83" s="194">
        <v>0.65822786092758179</v>
      </c>
      <c r="BF83" s="55"/>
      <c r="BG83" s="55"/>
      <c r="BH83" s="55"/>
      <c r="BI83" s="55"/>
    </row>
    <row r="84" spans="1:61" x14ac:dyDescent="0.3">
      <c r="A84" s="193" t="s">
        <v>460</v>
      </c>
      <c r="B84" s="194"/>
      <c r="C84" s="194"/>
      <c r="D84" s="194"/>
      <c r="E84" s="194">
        <v>0.46153846383094788</v>
      </c>
      <c r="F84" s="194">
        <v>13</v>
      </c>
      <c r="G84" s="194"/>
      <c r="H84" s="194"/>
      <c r="I84" s="194"/>
      <c r="J84" s="194">
        <v>0.34999999403953552</v>
      </c>
      <c r="K84" s="194">
        <v>20</v>
      </c>
      <c r="L84" s="194"/>
      <c r="M84" s="194"/>
      <c r="N84" s="194"/>
      <c r="O84" s="194">
        <v>0.53846156597137451</v>
      </c>
      <c r="P84" s="194">
        <v>13</v>
      </c>
      <c r="Q84" s="194"/>
      <c r="R84" s="194"/>
      <c r="S84" s="194"/>
      <c r="T84" s="194">
        <v>0.53846156597137451</v>
      </c>
      <c r="U84" s="194">
        <v>13</v>
      </c>
      <c r="V84" s="194"/>
      <c r="W84" s="194"/>
      <c r="X84" s="194"/>
      <c r="Y84" s="194">
        <v>0.6875</v>
      </c>
      <c r="Z84" s="194">
        <v>16</v>
      </c>
      <c r="AA84" s="194"/>
      <c r="AB84" s="194"/>
      <c r="AC84" s="194"/>
      <c r="AD84" s="194">
        <v>0.57894736528396606</v>
      </c>
      <c r="AE84" s="194">
        <v>19</v>
      </c>
      <c r="AF84" s="194"/>
      <c r="AG84" s="194"/>
      <c r="AH84" s="194"/>
      <c r="AI84" s="194"/>
      <c r="AJ84" s="194"/>
      <c r="AK84" s="194"/>
      <c r="AL84" s="194"/>
      <c r="AM84" s="194"/>
      <c r="AN84" s="194">
        <v>0.30769231915473938</v>
      </c>
      <c r="AO84" s="194">
        <v>13</v>
      </c>
      <c r="AP84" s="194"/>
      <c r="AQ84" s="194"/>
      <c r="AR84" s="194"/>
      <c r="AS84" s="194"/>
      <c r="AT84" s="194"/>
      <c r="AU84" s="194"/>
      <c r="AV84" s="194"/>
      <c r="AW84" s="194"/>
      <c r="AX84" s="194">
        <v>0.1666666716337204</v>
      </c>
      <c r="AY84" s="194">
        <v>18</v>
      </c>
      <c r="AZ84" s="194"/>
      <c r="BA84" s="194"/>
      <c r="BB84" s="194"/>
      <c r="BC84" s="194"/>
      <c r="BD84" s="194"/>
      <c r="BE84" s="194"/>
      <c r="BF84" s="55"/>
      <c r="BG84" s="55"/>
      <c r="BH84" s="55"/>
      <c r="BI84" s="55"/>
    </row>
    <row r="85" spans="1:61" x14ac:dyDescent="0.3">
      <c r="A85" s="193" t="s">
        <v>288</v>
      </c>
      <c r="B85" s="194"/>
      <c r="C85" s="194"/>
      <c r="D85" s="194"/>
      <c r="E85" s="194">
        <v>0.76923078298568726</v>
      </c>
      <c r="F85" s="194">
        <v>13</v>
      </c>
      <c r="G85" s="194"/>
      <c r="H85" s="194"/>
      <c r="I85" s="194"/>
      <c r="J85" s="194">
        <v>0.3571428656578064</v>
      </c>
      <c r="K85" s="194">
        <v>14</v>
      </c>
      <c r="L85" s="194"/>
      <c r="M85" s="194"/>
      <c r="N85" s="194"/>
      <c r="O85" s="194">
        <v>0.58333331346511841</v>
      </c>
      <c r="P85" s="194">
        <v>12</v>
      </c>
      <c r="Q85" s="194"/>
      <c r="R85" s="194"/>
      <c r="S85" s="194"/>
      <c r="T85" s="194"/>
      <c r="U85" s="194"/>
      <c r="V85" s="194"/>
      <c r="W85" s="194"/>
      <c r="X85" s="194"/>
      <c r="Y85" s="194">
        <v>0.60000002384185791</v>
      </c>
      <c r="Z85" s="194">
        <v>20</v>
      </c>
      <c r="AA85" s="194"/>
      <c r="AB85" s="194"/>
      <c r="AC85" s="194"/>
      <c r="AD85" s="194">
        <v>0.80000001192092896</v>
      </c>
      <c r="AE85" s="194">
        <v>10</v>
      </c>
      <c r="AF85" s="194"/>
      <c r="AG85" s="194"/>
      <c r="AH85" s="194"/>
      <c r="AI85" s="194"/>
      <c r="AJ85" s="194"/>
      <c r="AK85" s="194"/>
      <c r="AL85" s="194"/>
      <c r="AM85" s="194"/>
      <c r="AN85" s="194">
        <v>0.52631580829620361</v>
      </c>
      <c r="AO85" s="194">
        <v>19</v>
      </c>
      <c r="AP85" s="194"/>
      <c r="AQ85" s="194"/>
      <c r="AR85" s="194"/>
      <c r="AS85" s="194"/>
      <c r="AT85" s="194"/>
      <c r="AU85" s="194"/>
      <c r="AV85" s="194"/>
      <c r="AW85" s="194"/>
      <c r="AX85" s="194">
        <v>0.66666668653488159</v>
      </c>
      <c r="AY85" s="194">
        <v>12</v>
      </c>
      <c r="AZ85" s="194"/>
      <c r="BA85" s="194"/>
      <c r="BB85" s="194"/>
      <c r="BC85" s="194"/>
      <c r="BD85" s="194"/>
      <c r="BE85" s="194"/>
      <c r="BF85" s="55"/>
      <c r="BG85" s="55"/>
      <c r="BH85" s="55"/>
      <c r="BI85" s="55"/>
    </row>
    <row r="86" spans="1:61" x14ac:dyDescent="0.3">
      <c r="A86" s="193" t="s">
        <v>388</v>
      </c>
      <c r="B86" s="194">
        <v>0.46875</v>
      </c>
      <c r="C86" s="194">
        <v>0.32811456918716431</v>
      </c>
      <c r="D86" s="194">
        <v>0.84996765851974487</v>
      </c>
      <c r="E86" s="194">
        <v>0.40000000596046448</v>
      </c>
      <c r="F86" s="194">
        <v>10</v>
      </c>
      <c r="G86" s="194">
        <v>0.52941179275512695</v>
      </c>
      <c r="H86" s="194">
        <v>0.33590519428253174</v>
      </c>
      <c r="I86" s="194">
        <v>0.84217703342437744</v>
      </c>
      <c r="J86" s="194">
        <v>0.75</v>
      </c>
      <c r="K86" s="194">
        <v>12</v>
      </c>
      <c r="L86" s="194">
        <v>0.62222224473953247</v>
      </c>
      <c r="M86" s="194">
        <v>0.36900854110717773</v>
      </c>
      <c r="N86" s="194">
        <v>0.80907368659973145</v>
      </c>
      <c r="O86" s="194">
        <v>0.90909093618392944</v>
      </c>
      <c r="P86" s="194">
        <v>11</v>
      </c>
      <c r="Q86" s="194">
        <v>0.69696968793869019</v>
      </c>
      <c r="R86" s="194">
        <v>0.33209842443466187</v>
      </c>
      <c r="S86" s="194">
        <v>0.84598380327224731</v>
      </c>
      <c r="T86" s="194"/>
      <c r="U86" s="194"/>
      <c r="V86" s="194">
        <v>0.83333331346511841</v>
      </c>
      <c r="W86" s="194">
        <v>0.34303721785545349</v>
      </c>
      <c r="X86" s="194">
        <v>0.83504503965377808</v>
      </c>
      <c r="Y86" s="194">
        <v>0.8461538553237915</v>
      </c>
      <c r="Z86" s="194">
        <v>13</v>
      </c>
      <c r="AA86" s="194">
        <v>0.875</v>
      </c>
      <c r="AB86" s="194">
        <v>0.28774908185005188</v>
      </c>
      <c r="AC86" s="194">
        <v>0.89033311605453491</v>
      </c>
      <c r="AD86" s="194"/>
      <c r="AE86" s="194"/>
      <c r="AF86" s="194">
        <v>0.63999998569488525</v>
      </c>
      <c r="AG86" s="194">
        <v>0.29383644461631775</v>
      </c>
      <c r="AH86" s="194">
        <v>0.88424581289291382</v>
      </c>
      <c r="AI86" s="194">
        <v>0.4166666567325592</v>
      </c>
      <c r="AJ86" s="194">
        <v>12</v>
      </c>
      <c r="AK86" s="194">
        <v>0.57499998807907104</v>
      </c>
      <c r="AL86" s="194">
        <v>0.35566133260726929</v>
      </c>
      <c r="AM86" s="194">
        <v>0.82242089509963989</v>
      </c>
      <c r="AN86" s="194">
        <v>0.46666666865348816</v>
      </c>
      <c r="AO86" s="194">
        <v>15</v>
      </c>
      <c r="AP86" s="194">
        <v>0.58139532804489136</v>
      </c>
      <c r="AQ86" s="194">
        <v>0.36394965648651123</v>
      </c>
      <c r="AR86" s="194">
        <v>0.81413257122039795</v>
      </c>
      <c r="AS86" s="194">
        <v>0.8125</v>
      </c>
      <c r="AT86" s="194">
        <v>16</v>
      </c>
      <c r="AU86" s="194">
        <v>0.54411762952804565</v>
      </c>
      <c r="AV86" s="194">
        <v>0.41004699468612671</v>
      </c>
      <c r="AW86" s="194">
        <v>0.76803523302078247</v>
      </c>
      <c r="AX86" s="194">
        <v>0.47999998927116394</v>
      </c>
      <c r="AY86" s="194">
        <v>25</v>
      </c>
      <c r="AZ86" s="194">
        <v>0.55263155698776245</v>
      </c>
      <c r="BA86" s="194">
        <v>0.41972962021827698</v>
      </c>
      <c r="BB86" s="194">
        <v>0.75835263729095459</v>
      </c>
      <c r="BC86" s="194">
        <v>0.5</v>
      </c>
      <c r="BD86" s="194">
        <v>20</v>
      </c>
      <c r="BE86" s="194">
        <v>0.58904111385345459</v>
      </c>
      <c r="BF86" s="55"/>
      <c r="BG86" s="55"/>
      <c r="BH86" s="55"/>
      <c r="BI86" s="55"/>
    </row>
    <row r="87" spans="1:61" x14ac:dyDescent="0.3">
      <c r="A87" s="193" t="s">
        <v>299</v>
      </c>
      <c r="B87" s="194"/>
      <c r="C87" s="194"/>
      <c r="D87" s="194"/>
      <c r="E87" s="194">
        <v>0.83333331346511841</v>
      </c>
      <c r="F87" s="194">
        <v>24</v>
      </c>
      <c r="G87" s="194"/>
      <c r="H87" s="194"/>
      <c r="I87" s="194"/>
      <c r="J87" s="194"/>
      <c r="K87" s="194"/>
      <c r="L87" s="194"/>
      <c r="M87" s="194"/>
      <c r="N87" s="194"/>
      <c r="O87" s="194">
        <v>0.71428573131561279</v>
      </c>
      <c r="P87" s="194">
        <v>21</v>
      </c>
      <c r="Q87" s="194"/>
      <c r="R87" s="194"/>
      <c r="S87" s="194"/>
      <c r="T87" s="194"/>
      <c r="U87" s="194"/>
      <c r="V87" s="194"/>
      <c r="W87" s="194"/>
      <c r="X87" s="194"/>
      <c r="Y87" s="194">
        <v>0.72727274894714355</v>
      </c>
      <c r="Z87" s="194">
        <v>11</v>
      </c>
      <c r="AA87" s="194"/>
      <c r="AB87" s="194"/>
      <c r="AC87" s="194"/>
      <c r="AD87" s="194"/>
      <c r="AE87" s="194"/>
      <c r="AF87" s="194"/>
      <c r="AG87" s="194"/>
      <c r="AH87" s="194"/>
      <c r="AI87" s="194">
        <v>0.80000001192092896</v>
      </c>
      <c r="AJ87" s="194">
        <v>15</v>
      </c>
      <c r="AK87" s="194"/>
      <c r="AL87" s="194"/>
      <c r="AM87" s="194"/>
      <c r="AN87" s="194"/>
      <c r="AO87" s="194"/>
      <c r="AP87" s="194"/>
      <c r="AQ87" s="194"/>
      <c r="AR87" s="194"/>
      <c r="AS87" s="194">
        <v>0.78571426868438721</v>
      </c>
      <c r="AT87" s="194">
        <v>14</v>
      </c>
      <c r="AU87" s="194"/>
      <c r="AV87" s="194"/>
      <c r="AW87" s="194"/>
      <c r="AX87" s="194"/>
      <c r="AY87" s="194"/>
      <c r="AZ87" s="194"/>
      <c r="BA87" s="194"/>
      <c r="BB87" s="194"/>
      <c r="BC87" s="194"/>
      <c r="BD87" s="194"/>
      <c r="BE87" s="194"/>
      <c r="BF87" s="55"/>
      <c r="BG87" s="55"/>
      <c r="BH87" s="55"/>
      <c r="BI87" s="55"/>
    </row>
    <row r="88" spans="1:61" x14ac:dyDescent="0.3">
      <c r="A88" s="193" t="s">
        <v>343</v>
      </c>
      <c r="B88" s="194">
        <v>0.78651684522628784</v>
      </c>
      <c r="C88" s="194">
        <v>0.47160592675209045</v>
      </c>
      <c r="D88" s="194">
        <v>0.7794228196144104</v>
      </c>
      <c r="E88" s="194">
        <v>0.6071428656578064</v>
      </c>
      <c r="F88" s="194">
        <v>28</v>
      </c>
      <c r="G88" s="194">
        <v>0.74725276231765747</v>
      </c>
      <c r="H88" s="194">
        <v>0.47330662608146667</v>
      </c>
      <c r="I88" s="194">
        <v>0.77772212028503418</v>
      </c>
      <c r="J88" s="194">
        <v>0.70833331346511841</v>
      </c>
      <c r="K88" s="194">
        <v>24</v>
      </c>
      <c r="L88" s="194">
        <v>0.68421053886413574</v>
      </c>
      <c r="M88" s="194">
        <v>0.47654545307159424</v>
      </c>
      <c r="N88" s="194">
        <v>0.774483323097229</v>
      </c>
      <c r="O88" s="194">
        <v>0.56521737575531006</v>
      </c>
      <c r="P88" s="194">
        <v>23</v>
      </c>
      <c r="Q88" s="194">
        <v>0.65168541669845581</v>
      </c>
      <c r="R88" s="194">
        <v>0.47160592675209045</v>
      </c>
      <c r="S88" s="194">
        <v>0.7794228196144104</v>
      </c>
      <c r="T88" s="194">
        <v>0.78571426868438721</v>
      </c>
      <c r="U88" s="194">
        <v>14</v>
      </c>
      <c r="V88" s="194">
        <v>0.64383560419082642</v>
      </c>
      <c r="W88" s="194">
        <v>0.45557421445846558</v>
      </c>
      <c r="X88" s="194">
        <v>0.79545456171035767</v>
      </c>
      <c r="Y88" s="194">
        <v>0.5</v>
      </c>
      <c r="Z88" s="194">
        <v>12</v>
      </c>
      <c r="AA88" s="194">
        <v>0.63492065668106079</v>
      </c>
      <c r="AB88" s="194">
        <v>0.44258344173431396</v>
      </c>
      <c r="AC88" s="194">
        <v>0.80844533443450928</v>
      </c>
      <c r="AD88" s="194">
        <v>0.71428573131561279</v>
      </c>
      <c r="AE88" s="194">
        <v>14</v>
      </c>
      <c r="AF88" s="194">
        <v>0.68965518474578857</v>
      </c>
      <c r="AG88" s="194">
        <v>0.4348614513874054</v>
      </c>
      <c r="AH88" s="194">
        <v>0.81616729497909546</v>
      </c>
      <c r="AI88" s="194">
        <v>0.72222220897674561</v>
      </c>
      <c r="AJ88" s="194">
        <v>18</v>
      </c>
      <c r="AK88" s="194">
        <v>0.63235294818878174</v>
      </c>
      <c r="AL88" s="194">
        <v>0.44943723082542419</v>
      </c>
      <c r="AM88" s="194">
        <v>0.80159157514572144</v>
      </c>
      <c r="AN88" s="194">
        <v>0.58333331346511841</v>
      </c>
      <c r="AO88" s="194">
        <v>24</v>
      </c>
      <c r="AP88" s="194">
        <v>0.64473682641983032</v>
      </c>
      <c r="AQ88" s="194">
        <v>0.458962082862854</v>
      </c>
      <c r="AR88" s="194">
        <v>0.79206669330596924</v>
      </c>
      <c r="AS88" s="194">
        <v>0.60000002384185791</v>
      </c>
      <c r="AT88" s="194">
        <v>20</v>
      </c>
      <c r="AU88" s="194">
        <v>0.55421686172485352</v>
      </c>
      <c r="AV88" s="194">
        <v>0.4661400318145752</v>
      </c>
      <c r="AW88" s="194">
        <v>0.78488874435424805</v>
      </c>
      <c r="AX88" s="194">
        <v>0.3333333432674408</v>
      </c>
      <c r="AY88" s="194">
        <v>21</v>
      </c>
      <c r="AZ88" s="194">
        <v>0.52222222089767456</v>
      </c>
      <c r="BA88" s="194">
        <v>0.47246336936950684</v>
      </c>
      <c r="BB88" s="194">
        <v>0.77856540679931641</v>
      </c>
      <c r="BC88" s="194">
        <v>0.56000000238418579</v>
      </c>
      <c r="BD88" s="194">
        <v>25</v>
      </c>
      <c r="BE88" s="194">
        <v>0.62551438808441162</v>
      </c>
      <c r="BF88" s="55"/>
      <c r="BG88" s="55"/>
      <c r="BH88" s="55"/>
      <c r="BI88" s="55"/>
    </row>
    <row r="89" spans="1:61" x14ac:dyDescent="0.3">
      <c r="A89" s="193" t="s">
        <v>466</v>
      </c>
      <c r="B89" s="194">
        <v>0.87878787517547607</v>
      </c>
      <c r="C89" s="194">
        <v>0.48788601160049438</v>
      </c>
      <c r="D89" s="194">
        <v>0.83711403608322144</v>
      </c>
      <c r="E89" s="194">
        <v>0.92307692766189575</v>
      </c>
      <c r="F89" s="194">
        <v>13</v>
      </c>
      <c r="G89" s="194">
        <v>0.93023258447647095</v>
      </c>
      <c r="H89" s="194">
        <v>0.44616997241973877</v>
      </c>
      <c r="I89" s="194">
        <v>0.87883007526397705</v>
      </c>
      <c r="J89" s="194"/>
      <c r="K89" s="194"/>
      <c r="L89" s="194">
        <v>0.79591834545135498</v>
      </c>
      <c r="M89" s="194">
        <v>0.45984703302383423</v>
      </c>
      <c r="N89" s="194">
        <v>0.86515301465988159</v>
      </c>
      <c r="O89" s="194">
        <v>0.69230771064758301</v>
      </c>
      <c r="P89" s="194">
        <v>26</v>
      </c>
      <c r="Q89" s="194">
        <v>0.75</v>
      </c>
      <c r="R89" s="194">
        <v>0.4657796323299408</v>
      </c>
      <c r="S89" s="194">
        <v>0.85922044515609741</v>
      </c>
      <c r="T89" s="194">
        <v>0.69230771064758301</v>
      </c>
      <c r="U89" s="194">
        <v>13</v>
      </c>
      <c r="V89" s="194">
        <v>0.66101694107055664</v>
      </c>
      <c r="W89" s="194">
        <v>0.47781780362129211</v>
      </c>
      <c r="X89" s="194">
        <v>0.84718221426010132</v>
      </c>
      <c r="Y89" s="194">
        <v>0.60000002384185791</v>
      </c>
      <c r="Z89" s="194">
        <v>20</v>
      </c>
      <c r="AA89" s="194">
        <v>0.65822786092758179</v>
      </c>
      <c r="AB89" s="194">
        <v>0.50289833545684814</v>
      </c>
      <c r="AC89" s="194">
        <v>0.82210171222686768</v>
      </c>
      <c r="AD89" s="194">
        <v>0.64999997615814209</v>
      </c>
      <c r="AE89" s="194">
        <v>20</v>
      </c>
      <c r="AF89" s="194">
        <v>0.63235294818878174</v>
      </c>
      <c r="AG89" s="194">
        <v>0.49047303199768066</v>
      </c>
      <c r="AH89" s="194">
        <v>0.83452701568603516</v>
      </c>
      <c r="AI89" s="194">
        <v>0.60000002384185791</v>
      </c>
      <c r="AJ89" s="194">
        <v>15</v>
      </c>
      <c r="AK89" s="194">
        <v>0.57352942228317261</v>
      </c>
      <c r="AL89" s="194">
        <v>0.49047303199768066</v>
      </c>
      <c r="AM89" s="194">
        <v>0.83452701568603516</v>
      </c>
      <c r="AN89" s="194">
        <v>0.38461539149284363</v>
      </c>
      <c r="AO89" s="194">
        <v>13</v>
      </c>
      <c r="AP89" s="194">
        <v>0.58208954334259033</v>
      </c>
      <c r="AQ89" s="194">
        <v>0.48919400572776794</v>
      </c>
      <c r="AR89" s="194">
        <v>0.83580607175827026</v>
      </c>
      <c r="AS89" s="194">
        <v>0.63157892227172852</v>
      </c>
      <c r="AT89" s="194">
        <v>19</v>
      </c>
      <c r="AU89" s="194">
        <v>0.56896549463272095</v>
      </c>
      <c r="AV89" s="194">
        <v>0.47623252868652344</v>
      </c>
      <c r="AW89" s="194">
        <v>0.84876751899719238</v>
      </c>
      <c r="AX89" s="194">
        <v>0.63636362552642822</v>
      </c>
      <c r="AY89" s="194">
        <v>11</v>
      </c>
      <c r="AZ89" s="194">
        <v>0.55813956260681152</v>
      </c>
      <c r="BA89" s="194">
        <v>0.44616997241973877</v>
      </c>
      <c r="BB89" s="194">
        <v>0.87883007526397705</v>
      </c>
      <c r="BC89" s="194"/>
      <c r="BD89" s="194"/>
      <c r="BE89" s="194">
        <v>0.66250002384185791</v>
      </c>
      <c r="BF89" s="55"/>
      <c r="BG89" s="55"/>
      <c r="BH89" s="55"/>
      <c r="BI89" s="55"/>
    </row>
    <row r="90" spans="1:61" x14ac:dyDescent="0.3">
      <c r="A90" s="193" t="s">
        <v>376</v>
      </c>
      <c r="B90" s="194">
        <v>0.95161288976669312</v>
      </c>
      <c r="C90" s="194">
        <v>0.68798828125</v>
      </c>
      <c r="D90" s="194">
        <v>0.97366583347320557</v>
      </c>
      <c r="E90" s="194">
        <v>1</v>
      </c>
      <c r="F90" s="194">
        <v>25</v>
      </c>
      <c r="G90" s="194">
        <v>0.93243241310119629</v>
      </c>
      <c r="H90" s="194">
        <v>0.70008170604705811</v>
      </c>
      <c r="I90" s="194">
        <v>0.96157240867614746</v>
      </c>
      <c r="J90" s="194">
        <v>0.83333331346511841</v>
      </c>
      <c r="K90" s="194">
        <v>12</v>
      </c>
      <c r="L90" s="194">
        <v>0.90277779102325439</v>
      </c>
      <c r="M90" s="194">
        <v>0.69827824831008911</v>
      </c>
      <c r="N90" s="194">
        <v>0.96337586641311646</v>
      </c>
      <c r="O90" s="194">
        <v>0.84210526943206787</v>
      </c>
      <c r="P90" s="194">
        <v>19</v>
      </c>
      <c r="Q90" s="194">
        <v>0.82666665315628052</v>
      </c>
      <c r="R90" s="194">
        <v>0.70095628499984741</v>
      </c>
      <c r="S90" s="194">
        <v>0.96069782972335815</v>
      </c>
      <c r="T90" s="194">
        <v>0.57894736528396606</v>
      </c>
      <c r="U90" s="194">
        <v>19</v>
      </c>
      <c r="V90" s="194">
        <v>0.73134326934814453</v>
      </c>
      <c r="W90" s="194">
        <v>0.69342142343521118</v>
      </c>
      <c r="X90" s="194">
        <v>0.96823269128799438</v>
      </c>
      <c r="Y90" s="194">
        <v>0.70588237047195435</v>
      </c>
      <c r="Z90" s="194">
        <v>17</v>
      </c>
      <c r="AA90" s="194">
        <v>0.76712328195571899</v>
      </c>
      <c r="AB90" s="194">
        <v>0.69918924570083618</v>
      </c>
      <c r="AC90" s="194">
        <v>0.96246486902236938</v>
      </c>
      <c r="AD90" s="194">
        <v>0.94444441795349121</v>
      </c>
      <c r="AE90" s="194">
        <v>18</v>
      </c>
      <c r="AF90" s="194">
        <v>0.79310345649719238</v>
      </c>
      <c r="AG90" s="194">
        <v>0.71024507284164429</v>
      </c>
      <c r="AH90" s="194">
        <v>0.95140904188156128</v>
      </c>
      <c r="AI90" s="194">
        <v>0.87878787517547607</v>
      </c>
      <c r="AJ90" s="194">
        <v>33</v>
      </c>
      <c r="AK90" s="194">
        <v>0.84313726425170898</v>
      </c>
      <c r="AL90" s="194">
        <v>0.71946382522583008</v>
      </c>
      <c r="AM90" s="194">
        <v>0.94219028949737549</v>
      </c>
      <c r="AN90" s="194">
        <v>0.82352942228317261</v>
      </c>
      <c r="AO90" s="194">
        <v>34</v>
      </c>
      <c r="AP90" s="194">
        <v>0.87068963050842285</v>
      </c>
      <c r="AQ90" s="194">
        <v>0.72640001773834229</v>
      </c>
      <c r="AR90" s="194">
        <v>0.93525409698486328</v>
      </c>
      <c r="AS90" s="194">
        <v>0.87096774578094482</v>
      </c>
      <c r="AT90" s="194">
        <v>31</v>
      </c>
      <c r="AU90" s="194">
        <v>0.81512606143951416</v>
      </c>
      <c r="AV90" s="194">
        <v>0.72772473096847534</v>
      </c>
      <c r="AW90" s="194">
        <v>0.93392938375473022</v>
      </c>
      <c r="AX90" s="194">
        <v>0.61904764175415039</v>
      </c>
      <c r="AY90" s="194">
        <v>21</v>
      </c>
      <c r="AZ90" s="194">
        <v>0.81308412551879883</v>
      </c>
      <c r="BA90" s="194">
        <v>0.72209686040878296</v>
      </c>
      <c r="BB90" s="194">
        <v>0.93955725431442261</v>
      </c>
      <c r="BC90" s="194">
        <v>0.9047619104385376</v>
      </c>
      <c r="BD90" s="194">
        <v>21</v>
      </c>
      <c r="BE90" s="194">
        <v>0.83082705736160278</v>
      </c>
      <c r="BF90" s="55"/>
      <c r="BG90" s="55"/>
      <c r="BH90" s="55"/>
      <c r="BI90" s="55"/>
    </row>
    <row r="91" spans="1:61" x14ac:dyDescent="0.3">
      <c r="A91" s="193" t="s">
        <v>534</v>
      </c>
      <c r="B91" s="194">
        <v>0.82075470685958862</v>
      </c>
      <c r="C91" s="194">
        <v>0.60653930902481079</v>
      </c>
      <c r="D91" s="194">
        <v>0.86369878053665161</v>
      </c>
      <c r="E91" s="194">
        <v>0.8888888955116272</v>
      </c>
      <c r="F91" s="194">
        <v>27</v>
      </c>
      <c r="G91" s="194">
        <v>0.83333331346511841</v>
      </c>
      <c r="H91" s="194">
        <v>0.6040424108505249</v>
      </c>
      <c r="I91" s="194">
        <v>0.8661956787109375</v>
      </c>
      <c r="J91" s="194">
        <v>0.81481480598449707</v>
      </c>
      <c r="K91" s="194">
        <v>27</v>
      </c>
      <c r="L91" s="194">
        <v>0.8545454740524292</v>
      </c>
      <c r="M91" s="194">
        <v>0.60889875888824463</v>
      </c>
      <c r="N91" s="194">
        <v>0.86133933067321777</v>
      </c>
      <c r="O91" s="194">
        <v>0.79310345649719238</v>
      </c>
      <c r="P91" s="194">
        <v>29</v>
      </c>
      <c r="Q91" s="194">
        <v>0.75510203838348389</v>
      </c>
      <c r="R91" s="194">
        <v>0.60139411687850952</v>
      </c>
      <c r="S91" s="194">
        <v>0.86884397268295288</v>
      </c>
      <c r="T91" s="194">
        <v>0.3333333432674408</v>
      </c>
      <c r="U91" s="194">
        <v>15</v>
      </c>
      <c r="V91" s="194">
        <v>0.66326528787612915</v>
      </c>
      <c r="W91" s="194">
        <v>0.60139411687850952</v>
      </c>
      <c r="X91" s="194">
        <v>0.86884397268295288</v>
      </c>
      <c r="Y91" s="194">
        <v>0.55555558204650879</v>
      </c>
      <c r="Z91" s="194">
        <v>27</v>
      </c>
      <c r="AA91" s="194">
        <v>0.62999999523162842</v>
      </c>
      <c r="AB91" s="194">
        <v>0.60273808240890503</v>
      </c>
      <c r="AC91" s="194">
        <v>0.86750000715255737</v>
      </c>
      <c r="AD91" s="194">
        <v>0.68965518474578857</v>
      </c>
      <c r="AE91" s="194">
        <v>29</v>
      </c>
      <c r="AF91" s="194">
        <v>0.61467891931533813</v>
      </c>
      <c r="AG91" s="194">
        <v>0.60832113027572632</v>
      </c>
      <c r="AH91" s="194">
        <v>0.86191695928573608</v>
      </c>
      <c r="AI91" s="194">
        <v>0.71052628755569458</v>
      </c>
      <c r="AJ91" s="194">
        <v>38</v>
      </c>
      <c r="AK91" s="194">
        <v>0.68852460384368896</v>
      </c>
      <c r="AL91" s="194">
        <v>0.61526697874069214</v>
      </c>
      <c r="AM91" s="194">
        <v>0.85497111082077026</v>
      </c>
      <c r="AN91" s="194">
        <v>0.78571426868438721</v>
      </c>
      <c r="AO91" s="194">
        <v>28</v>
      </c>
      <c r="AP91" s="194">
        <v>0.72413790225982666</v>
      </c>
      <c r="AQ91" s="194">
        <v>0.61220639944076538</v>
      </c>
      <c r="AR91" s="194">
        <v>0.85803169012069702</v>
      </c>
      <c r="AS91" s="194">
        <v>0.71428573131561279</v>
      </c>
      <c r="AT91" s="194">
        <v>21</v>
      </c>
      <c r="AU91" s="194">
        <v>0.69421488046646118</v>
      </c>
      <c r="AV91" s="194">
        <v>0.6147727370262146</v>
      </c>
      <c r="AW91" s="194">
        <v>0.8554653525352478</v>
      </c>
      <c r="AX91" s="194">
        <v>0.58823531866073608</v>
      </c>
      <c r="AY91" s="194">
        <v>34</v>
      </c>
      <c r="AZ91" s="194">
        <v>0.7350427508354187</v>
      </c>
      <c r="BA91" s="194">
        <v>0.61273282766342163</v>
      </c>
      <c r="BB91" s="194">
        <v>0.85750526189804077</v>
      </c>
      <c r="BC91" s="194">
        <v>0.85294115543365479</v>
      </c>
      <c r="BD91" s="194">
        <v>34</v>
      </c>
      <c r="BE91" s="194">
        <v>0.7351190447807312</v>
      </c>
      <c r="BF91" s="55"/>
      <c r="BG91" s="55"/>
      <c r="BH91" s="55"/>
      <c r="BI91" s="55"/>
    </row>
    <row r="92" spans="1:61" x14ac:dyDescent="0.3">
      <c r="A92" s="193"/>
      <c r="B92" s="194"/>
      <c r="C92" s="194"/>
      <c r="D92" s="194"/>
      <c r="E92" s="194"/>
      <c r="F92" s="194"/>
      <c r="G92" s="194"/>
      <c r="H92" s="194"/>
      <c r="I92" s="194"/>
      <c r="J92" s="194"/>
      <c r="K92" s="194"/>
      <c r="L92" s="194"/>
      <c r="M92" s="194"/>
      <c r="N92" s="194"/>
      <c r="O92" s="194"/>
      <c r="P92" s="194"/>
      <c r="Q92" s="194"/>
      <c r="R92" s="194"/>
      <c r="S92" s="194"/>
      <c r="T92" s="194"/>
      <c r="U92" s="194"/>
      <c r="V92" s="194"/>
      <c r="W92" s="194"/>
      <c r="X92" s="194"/>
      <c r="Y92" s="194"/>
      <c r="Z92" s="194"/>
      <c r="AA92" s="194"/>
      <c r="AB92" s="194"/>
      <c r="AC92" s="194"/>
      <c r="AD92" s="194"/>
      <c r="AE92" s="194"/>
      <c r="AF92" s="194"/>
      <c r="AG92" s="194"/>
      <c r="AH92" s="194"/>
      <c r="AI92" s="194"/>
      <c r="AJ92" s="194"/>
      <c r="AK92" s="194"/>
      <c r="AL92" s="55"/>
      <c r="AM92" s="55"/>
      <c r="AN92" s="55"/>
      <c r="AO92" s="55"/>
      <c r="AP92" s="55"/>
      <c r="AQ92" s="55"/>
      <c r="AR92" s="55"/>
      <c r="AS92" s="55"/>
      <c r="AT92" s="55"/>
      <c r="AU92" s="55"/>
      <c r="AV92" s="55"/>
      <c r="AW92" s="55"/>
      <c r="AX92" s="55"/>
      <c r="AY92" s="55"/>
      <c r="AZ92" s="55"/>
      <c r="BA92" s="55"/>
      <c r="BB92" s="55"/>
      <c r="BC92" s="55"/>
      <c r="BD92" s="55"/>
      <c r="BE92" s="55"/>
      <c r="BF92" s="55"/>
      <c r="BG92" s="55"/>
      <c r="BH92" s="55"/>
      <c r="BI92" s="55"/>
    </row>
    <row r="93" spans="1:61" x14ac:dyDescent="0.3">
      <c r="A93" s="193"/>
      <c r="B93" s="194"/>
      <c r="C93" s="194"/>
      <c r="D93" s="194"/>
      <c r="E93" s="194"/>
      <c r="F93" s="194"/>
      <c r="G93" s="194"/>
      <c r="H93" s="194"/>
      <c r="I93" s="194"/>
      <c r="J93" s="194"/>
      <c r="K93" s="194"/>
      <c r="L93" s="194"/>
      <c r="M93" s="194"/>
      <c r="N93" s="194"/>
      <c r="O93" s="194"/>
      <c r="P93" s="194"/>
      <c r="Q93" s="194"/>
      <c r="R93" s="194"/>
      <c r="S93" s="194"/>
      <c r="T93" s="194"/>
      <c r="U93" s="194"/>
      <c r="V93" s="194"/>
      <c r="W93" s="194"/>
      <c r="X93" s="194"/>
      <c r="Y93" s="194"/>
      <c r="Z93" s="194"/>
      <c r="AA93" s="194"/>
      <c r="AB93" s="194"/>
      <c r="AC93" s="194"/>
      <c r="AD93" s="194"/>
      <c r="AE93" s="194"/>
      <c r="AF93" s="194"/>
      <c r="AG93" s="194"/>
      <c r="AH93" s="194"/>
      <c r="AI93" s="194"/>
      <c r="AJ93" s="194"/>
      <c r="AK93" s="194"/>
      <c r="AL93" s="55"/>
      <c r="AM93" s="55"/>
      <c r="AN93" s="55"/>
      <c r="AO93" s="55"/>
      <c r="AP93" s="55"/>
      <c r="AQ93" s="55"/>
      <c r="AR93" s="55"/>
      <c r="AS93" s="55"/>
      <c r="AT93" s="55"/>
      <c r="AU93" s="55"/>
      <c r="AV93" s="55"/>
      <c r="AW93" s="55"/>
      <c r="AX93" s="55"/>
      <c r="AY93" s="55"/>
      <c r="AZ93" s="55"/>
      <c r="BA93" s="55"/>
      <c r="BB93" s="55"/>
      <c r="BC93" s="55"/>
      <c r="BD93" s="55"/>
      <c r="BE93" s="55"/>
      <c r="BF93" s="55"/>
      <c r="BG93" s="55"/>
      <c r="BH93" s="55"/>
      <c r="BI93" s="55"/>
    </row>
    <row r="94" spans="1:61" x14ac:dyDescent="0.3">
      <c r="A94" s="193"/>
      <c r="B94" s="194"/>
      <c r="C94" s="194"/>
      <c r="D94" s="194"/>
      <c r="E94" s="194"/>
      <c r="F94" s="194"/>
      <c r="G94" s="194"/>
      <c r="H94" s="194"/>
      <c r="I94" s="194"/>
      <c r="J94" s="194"/>
      <c r="K94" s="194"/>
      <c r="L94" s="194"/>
      <c r="M94" s="194"/>
      <c r="N94" s="194"/>
      <c r="O94" s="194"/>
      <c r="P94" s="194"/>
      <c r="Q94" s="194"/>
      <c r="R94" s="194"/>
      <c r="S94" s="194"/>
      <c r="T94" s="194"/>
      <c r="U94" s="194"/>
      <c r="V94" s="194"/>
      <c r="W94" s="194"/>
      <c r="X94" s="194"/>
      <c r="Y94" s="194"/>
      <c r="Z94" s="194"/>
      <c r="AA94" s="194"/>
      <c r="AB94" s="194"/>
      <c r="AC94" s="194"/>
      <c r="AD94" s="194"/>
      <c r="AE94" s="194"/>
      <c r="AF94" s="194"/>
      <c r="AG94" s="194"/>
      <c r="AH94" s="194"/>
      <c r="AI94" s="194"/>
      <c r="AJ94" s="194"/>
      <c r="AK94" s="194"/>
      <c r="AL94" s="55"/>
      <c r="AM94" s="55"/>
      <c r="AN94" s="55"/>
      <c r="AO94" s="55"/>
      <c r="AP94" s="55"/>
      <c r="AQ94" s="55"/>
      <c r="AR94" s="55"/>
      <c r="AS94" s="55"/>
      <c r="AT94" s="55"/>
      <c r="AU94" s="55"/>
      <c r="AV94" s="55"/>
      <c r="AW94" s="55"/>
      <c r="AX94" s="55"/>
      <c r="AY94" s="55"/>
      <c r="AZ94" s="55"/>
      <c r="BA94" s="55"/>
      <c r="BB94" s="55"/>
      <c r="BC94" s="55"/>
      <c r="BD94" s="55"/>
      <c r="BE94" s="55"/>
      <c r="BF94" s="55"/>
      <c r="BG94" s="55"/>
      <c r="BH94" s="55"/>
      <c r="BI94" s="55"/>
    </row>
    <row r="95" spans="1:61" x14ac:dyDescent="0.3">
      <c r="A95" s="193"/>
      <c r="B95" s="194"/>
      <c r="C95" s="194"/>
      <c r="D95" s="194"/>
      <c r="E95" s="194"/>
      <c r="F95" s="194"/>
      <c r="G95" s="194"/>
      <c r="H95" s="194"/>
      <c r="I95" s="194"/>
      <c r="J95" s="194"/>
      <c r="K95" s="194"/>
      <c r="L95" s="194"/>
      <c r="M95" s="194"/>
      <c r="N95" s="194"/>
      <c r="O95" s="194"/>
      <c r="P95" s="194"/>
      <c r="Q95" s="194"/>
      <c r="R95" s="194"/>
      <c r="S95" s="194"/>
      <c r="T95" s="194"/>
      <c r="U95" s="194"/>
      <c r="V95" s="194"/>
      <c r="W95" s="194"/>
      <c r="X95" s="194"/>
      <c r="Y95" s="194"/>
      <c r="Z95" s="194"/>
      <c r="AA95" s="194"/>
      <c r="AB95" s="194"/>
      <c r="AC95" s="194"/>
      <c r="AD95" s="194"/>
      <c r="AE95" s="194"/>
      <c r="AF95" s="194"/>
      <c r="AG95" s="194"/>
      <c r="AH95" s="194"/>
      <c r="AI95" s="194"/>
      <c r="AJ95" s="194"/>
      <c r="AK95" s="194"/>
      <c r="AL95" s="55"/>
      <c r="AM95" s="55"/>
      <c r="AN95" s="55"/>
      <c r="AO95" s="55"/>
      <c r="AP95" s="55"/>
      <c r="AQ95" s="55"/>
      <c r="AR95" s="55"/>
      <c r="AS95" s="55"/>
      <c r="AT95" s="55"/>
      <c r="AU95" s="55"/>
      <c r="AV95" s="55"/>
      <c r="AW95" s="55"/>
      <c r="AX95" s="55"/>
      <c r="AY95" s="55"/>
      <c r="AZ95" s="55"/>
      <c r="BA95" s="55"/>
      <c r="BB95" s="55"/>
      <c r="BC95" s="55"/>
      <c r="BD95" s="55"/>
      <c r="BE95" s="55"/>
      <c r="BF95" s="55"/>
      <c r="BG95" s="55"/>
      <c r="BH95" s="55"/>
      <c r="BI95" s="55"/>
    </row>
    <row r="96" spans="1:61" x14ac:dyDescent="0.3">
      <c r="A96" s="193"/>
      <c r="B96" s="194"/>
      <c r="C96" s="194"/>
      <c r="D96" s="194"/>
      <c r="E96" s="194"/>
      <c r="F96" s="194"/>
      <c r="G96" s="194"/>
      <c r="H96" s="194"/>
      <c r="I96" s="194"/>
      <c r="J96" s="194"/>
      <c r="K96" s="194"/>
      <c r="L96" s="194"/>
      <c r="M96" s="194"/>
      <c r="N96" s="194"/>
      <c r="O96" s="194"/>
      <c r="P96" s="194"/>
      <c r="Q96" s="194"/>
      <c r="R96" s="194"/>
      <c r="S96" s="194"/>
      <c r="T96" s="194"/>
      <c r="U96" s="194"/>
      <c r="V96" s="194"/>
      <c r="W96" s="194"/>
      <c r="X96" s="194"/>
      <c r="Y96" s="194"/>
      <c r="Z96" s="194"/>
      <c r="AA96" s="194"/>
      <c r="AB96" s="194"/>
      <c r="AC96" s="194"/>
      <c r="AD96" s="194"/>
      <c r="AE96" s="194"/>
      <c r="AF96" s="194"/>
      <c r="AG96" s="194"/>
      <c r="AH96" s="194"/>
      <c r="AI96" s="194"/>
      <c r="AJ96" s="194"/>
      <c r="AK96" s="194"/>
      <c r="AL96" s="55"/>
      <c r="AM96" s="55"/>
      <c r="AN96" s="55"/>
      <c r="AO96" s="55"/>
      <c r="AP96" s="55"/>
      <c r="AQ96" s="55"/>
      <c r="AR96" s="55"/>
      <c r="AS96" s="55"/>
      <c r="AT96" s="55"/>
      <c r="AU96" s="55"/>
      <c r="AV96" s="55"/>
      <c r="AW96" s="55"/>
      <c r="AX96" s="55"/>
      <c r="AY96" s="55"/>
      <c r="AZ96" s="55"/>
      <c r="BA96" s="55"/>
      <c r="BB96" s="55"/>
      <c r="BC96" s="55"/>
      <c r="BD96" s="55"/>
      <c r="BE96" s="55"/>
      <c r="BF96" s="55"/>
      <c r="BG96" s="55"/>
      <c r="BH96" s="55"/>
      <c r="BI96" s="55"/>
    </row>
    <row r="97" spans="1:61" x14ac:dyDescent="0.3">
      <c r="A97" s="193"/>
      <c r="B97" s="194"/>
      <c r="C97" s="194"/>
      <c r="D97" s="194"/>
      <c r="E97" s="194"/>
      <c r="F97" s="194"/>
      <c r="G97" s="194"/>
      <c r="H97" s="194"/>
      <c r="I97" s="194"/>
      <c r="J97" s="194"/>
      <c r="K97" s="194"/>
      <c r="L97" s="194"/>
      <c r="M97" s="194"/>
      <c r="N97" s="194"/>
      <c r="O97" s="194"/>
      <c r="P97" s="194"/>
      <c r="Q97" s="194"/>
      <c r="R97" s="194"/>
      <c r="S97" s="194"/>
      <c r="T97" s="194"/>
      <c r="U97" s="194"/>
      <c r="V97" s="194"/>
      <c r="W97" s="194"/>
      <c r="X97" s="194"/>
      <c r="Y97" s="194"/>
      <c r="Z97" s="194"/>
      <c r="AA97" s="194"/>
      <c r="AB97" s="194"/>
      <c r="AC97" s="194"/>
      <c r="AD97" s="194"/>
      <c r="AE97" s="194"/>
      <c r="AF97" s="194"/>
      <c r="AG97" s="194"/>
      <c r="AH97" s="194"/>
      <c r="AI97" s="194"/>
      <c r="AJ97" s="194"/>
      <c r="AK97" s="194"/>
      <c r="AL97" s="55"/>
      <c r="AM97" s="55"/>
      <c r="AN97" s="55"/>
      <c r="AO97" s="55"/>
      <c r="AP97" s="55"/>
      <c r="AQ97" s="55"/>
      <c r="AR97" s="55"/>
      <c r="AS97" s="55"/>
      <c r="AT97" s="55"/>
      <c r="AU97" s="55"/>
      <c r="AV97" s="55"/>
      <c r="AW97" s="55"/>
      <c r="AX97" s="55"/>
      <c r="AY97" s="55"/>
      <c r="AZ97" s="55"/>
      <c r="BA97" s="55"/>
      <c r="BB97" s="55"/>
      <c r="BC97" s="55"/>
      <c r="BD97" s="55"/>
      <c r="BE97" s="55"/>
      <c r="BF97" s="55"/>
      <c r="BG97" s="55"/>
      <c r="BH97" s="55"/>
      <c r="BI97" s="55"/>
    </row>
    <row r="98" spans="1:61" x14ac:dyDescent="0.3">
      <c r="A98" s="193"/>
      <c r="B98" s="194"/>
      <c r="C98" s="194"/>
      <c r="D98" s="194"/>
      <c r="E98" s="194"/>
      <c r="F98" s="194"/>
      <c r="G98" s="194"/>
      <c r="H98" s="194"/>
      <c r="I98" s="194"/>
      <c r="J98" s="194"/>
      <c r="K98" s="194"/>
      <c r="L98" s="194"/>
      <c r="M98" s="194"/>
      <c r="N98" s="194"/>
      <c r="O98" s="194"/>
      <c r="P98" s="194"/>
      <c r="Q98" s="194"/>
      <c r="R98" s="194"/>
      <c r="S98" s="194"/>
      <c r="T98" s="194"/>
      <c r="U98" s="194"/>
      <c r="V98" s="194"/>
      <c r="W98" s="194"/>
      <c r="X98" s="194"/>
      <c r="Y98" s="194"/>
      <c r="Z98" s="194"/>
      <c r="AA98" s="194"/>
      <c r="AB98" s="194"/>
      <c r="AC98" s="194"/>
      <c r="AD98" s="194"/>
      <c r="AE98" s="194"/>
      <c r="AF98" s="194"/>
      <c r="AG98" s="194"/>
      <c r="AH98" s="194"/>
      <c r="AI98" s="194"/>
      <c r="AJ98" s="194"/>
      <c r="AK98" s="194"/>
      <c r="AL98" s="55"/>
      <c r="AM98" s="55"/>
      <c r="AN98" s="55"/>
      <c r="AO98" s="55"/>
      <c r="AP98" s="55"/>
      <c r="AQ98" s="55"/>
      <c r="AR98" s="55"/>
      <c r="AS98" s="55"/>
      <c r="AT98" s="55"/>
      <c r="AU98" s="55"/>
      <c r="AV98" s="55"/>
      <c r="AW98" s="55"/>
      <c r="AX98" s="55"/>
      <c r="AY98" s="55"/>
      <c r="AZ98" s="55"/>
      <c r="BA98" s="55"/>
      <c r="BB98" s="55"/>
      <c r="BC98" s="55"/>
      <c r="BD98" s="55"/>
      <c r="BE98" s="55"/>
      <c r="BF98" s="55"/>
      <c r="BG98" s="55"/>
      <c r="BH98" s="55"/>
      <c r="BI98" s="55"/>
    </row>
    <row r="99" spans="1:61" x14ac:dyDescent="0.3">
      <c r="A99" s="193"/>
      <c r="B99" s="194"/>
      <c r="C99" s="194"/>
      <c r="D99" s="194"/>
      <c r="E99" s="194"/>
      <c r="F99" s="194"/>
      <c r="G99" s="194"/>
      <c r="H99" s="194"/>
      <c r="I99" s="194"/>
      <c r="J99" s="194"/>
      <c r="K99" s="194"/>
      <c r="L99" s="194"/>
      <c r="M99" s="194"/>
      <c r="N99" s="194"/>
      <c r="O99" s="194"/>
      <c r="P99" s="194"/>
      <c r="Q99" s="194"/>
      <c r="R99" s="194"/>
      <c r="S99" s="194"/>
      <c r="T99" s="194"/>
      <c r="U99" s="194"/>
      <c r="V99" s="194"/>
      <c r="W99" s="194"/>
      <c r="X99" s="194"/>
      <c r="Y99" s="194"/>
      <c r="Z99" s="194"/>
      <c r="AA99" s="194"/>
      <c r="AB99" s="194"/>
      <c r="AC99" s="194"/>
      <c r="AD99" s="194"/>
      <c r="AE99" s="194"/>
      <c r="AF99" s="194"/>
      <c r="AG99" s="194"/>
      <c r="AH99" s="194"/>
      <c r="AI99" s="194"/>
      <c r="AJ99" s="194"/>
      <c r="AK99" s="194"/>
      <c r="AL99" s="55"/>
      <c r="AM99" s="55"/>
      <c r="AN99" s="55"/>
      <c r="AO99" s="55"/>
      <c r="AP99" s="55"/>
      <c r="AQ99" s="55"/>
      <c r="AR99" s="55"/>
      <c r="AS99" s="55"/>
      <c r="AT99" s="55"/>
      <c r="AU99" s="55"/>
      <c r="AV99" s="55"/>
      <c r="AW99" s="55"/>
      <c r="AX99" s="55"/>
      <c r="AY99" s="55"/>
      <c r="AZ99" s="55"/>
      <c r="BA99" s="55"/>
      <c r="BB99" s="55"/>
      <c r="BC99" s="55"/>
      <c r="BD99" s="55"/>
      <c r="BE99" s="55"/>
      <c r="BF99" s="55"/>
      <c r="BG99" s="55"/>
      <c r="BH99" s="55"/>
      <c r="BI99" s="55"/>
    </row>
    <row r="100" spans="1:61" x14ac:dyDescent="0.3">
      <c r="A100" s="193"/>
      <c r="B100" s="194"/>
      <c r="C100" s="194"/>
      <c r="D100" s="194"/>
      <c r="E100" s="194"/>
      <c r="F100" s="194"/>
      <c r="G100" s="194"/>
      <c r="H100" s="194"/>
      <c r="I100" s="194"/>
      <c r="J100" s="194"/>
      <c r="K100" s="194"/>
      <c r="L100" s="194"/>
      <c r="M100" s="194"/>
      <c r="N100" s="194"/>
      <c r="O100" s="194"/>
      <c r="P100" s="194"/>
      <c r="Q100" s="194"/>
      <c r="R100" s="194"/>
      <c r="S100" s="194"/>
      <c r="T100" s="194"/>
      <c r="U100" s="194"/>
      <c r="V100" s="194"/>
      <c r="W100" s="194"/>
      <c r="X100" s="194"/>
      <c r="Y100" s="194"/>
      <c r="Z100" s="194"/>
      <c r="AA100" s="194"/>
      <c r="AB100" s="194"/>
      <c r="AC100" s="194"/>
      <c r="AD100" s="194"/>
      <c r="AE100" s="194"/>
      <c r="AF100" s="194"/>
      <c r="AG100" s="194"/>
      <c r="AH100" s="194"/>
      <c r="AI100" s="194"/>
      <c r="AJ100" s="194"/>
      <c r="AK100" s="194"/>
      <c r="AL100" s="55"/>
      <c r="AM100" s="55"/>
      <c r="AN100" s="55"/>
      <c r="AO100" s="55"/>
      <c r="AP100" s="55"/>
      <c r="AQ100" s="55"/>
      <c r="AR100" s="55"/>
      <c r="AS100" s="55"/>
      <c r="AT100" s="55"/>
      <c r="AU100" s="55"/>
      <c r="AV100" s="55"/>
      <c r="AW100" s="55"/>
      <c r="AX100" s="55"/>
      <c r="AY100" s="55"/>
      <c r="AZ100" s="55"/>
      <c r="BA100" s="55"/>
      <c r="BB100" s="55"/>
      <c r="BC100" s="55"/>
      <c r="BD100" s="55"/>
      <c r="BE100" s="55"/>
      <c r="BF100" s="55"/>
      <c r="BG100" s="55"/>
      <c r="BH100" s="55"/>
      <c r="BI100" s="55"/>
    </row>
    <row r="101" spans="1:61" x14ac:dyDescent="0.3">
      <c r="A101" s="193"/>
      <c r="B101" s="194"/>
      <c r="C101" s="194"/>
      <c r="D101" s="194"/>
      <c r="E101" s="194"/>
      <c r="F101" s="194"/>
      <c r="G101" s="194"/>
      <c r="H101" s="194"/>
      <c r="I101" s="194"/>
      <c r="J101" s="194"/>
      <c r="K101" s="194"/>
      <c r="L101" s="194"/>
      <c r="M101" s="194"/>
      <c r="N101" s="194"/>
      <c r="O101" s="194"/>
      <c r="P101" s="194"/>
      <c r="Q101" s="194"/>
      <c r="R101" s="194"/>
      <c r="S101" s="194"/>
      <c r="T101" s="194"/>
      <c r="U101" s="194"/>
      <c r="V101" s="194"/>
      <c r="W101" s="194"/>
      <c r="X101" s="194"/>
      <c r="Y101" s="194"/>
      <c r="Z101" s="194"/>
      <c r="AA101" s="194"/>
      <c r="AB101" s="194"/>
      <c r="AC101" s="194"/>
      <c r="AD101" s="194"/>
      <c r="AE101" s="194"/>
      <c r="AF101" s="194"/>
      <c r="AG101" s="194"/>
      <c r="AH101" s="194"/>
      <c r="AI101" s="194"/>
      <c r="AJ101" s="194"/>
      <c r="AK101" s="194"/>
      <c r="AL101" s="55"/>
      <c r="AM101" s="55"/>
      <c r="AN101" s="55"/>
      <c r="AO101" s="55"/>
      <c r="AP101" s="55"/>
      <c r="AQ101" s="55"/>
      <c r="AR101" s="55"/>
      <c r="AS101" s="55"/>
      <c r="AT101" s="55"/>
      <c r="AU101" s="55"/>
      <c r="AV101" s="55"/>
      <c r="AW101" s="55"/>
      <c r="AX101" s="55"/>
      <c r="AY101" s="55"/>
      <c r="AZ101" s="55"/>
      <c r="BA101" s="55"/>
      <c r="BB101" s="55"/>
      <c r="BC101" s="55"/>
      <c r="BD101" s="55"/>
      <c r="BE101" s="55"/>
      <c r="BF101" s="55"/>
      <c r="BG101" s="55"/>
      <c r="BH101" s="55"/>
      <c r="BI101" s="55"/>
    </row>
    <row r="102" spans="1:61" x14ac:dyDescent="0.3">
      <c r="A102" s="193"/>
      <c r="B102" s="194"/>
      <c r="C102" s="194"/>
      <c r="D102" s="194"/>
      <c r="E102" s="194"/>
      <c r="F102" s="194"/>
      <c r="G102" s="194"/>
      <c r="H102" s="194"/>
      <c r="I102" s="194"/>
      <c r="J102" s="194"/>
      <c r="K102" s="194"/>
      <c r="L102" s="194"/>
      <c r="M102" s="194"/>
      <c r="N102" s="194"/>
      <c r="O102" s="194"/>
      <c r="P102" s="194"/>
      <c r="Q102" s="194"/>
      <c r="R102" s="194"/>
      <c r="S102" s="194"/>
      <c r="T102" s="194"/>
      <c r="U102" s="194"/>
      <c r="V102" s="194"/>
      <c r="W102" s="194"/>
      <c r="X102" s="194"/>
      <c r="Y102" s="194"/>
      <c r="Z102" s="194"/>
      <c r="AA102" s="194"/>
      <c r="AB102" s="194"/>
      <c r="AC102" s="194"/>
      <c r="AD102" s="194"/>
      <c r="AE102" s="194"/>
      <c r="AF102" s="194"/>
      <c r="AG102" s="194"/>
      <c r="AH102" s="194"/>
      <c r="AI102" s="194"/>
      <c r="AJ102" s="194"/>
      <c r="AK102" s="194"/>
      <c r="AL102" s="55"/>
      <c r="AM102" s="55"/>
      <c r="AN102" s="55"/>
      <c r="AO102" s="55"/>
      <c r="AP102" s="55"/>
      <c r="AQ102" s="55"/>
      <c r="AR102" s="55"/>
      <c r="AS102" s="55"/>
      <c r="AT102" s="55"/>
      <c r="AU102" s="55"/>
      <c r="AV102" s="55"/>
      <c r="AW102" s="55"/>
      <c r="AX102" s="55"/>
      <c r="AY102" s="55"/>
      <c r="AZ102" s="55"/>
      <c r="BA102" s="55"/>
      <c r="BB102" s="55"/>
      <c r="BC102" s="55"/>
      <c r="BD102" s="55"/>
      <c r="BE102" s="55"/>
      <c r="BF102" s="55"/>
      <c r="BG102" s="55"/>
      <c r="BH102" s="55"/>
      <c r="BI102" s="55"/>
    </row>
    <row r="103" spans="1:61" x14ac:dyDescent="0.3">
      <c r="A103" s="193"/>
      <c r="B103" s="194"/>
      <c r="C103" s="194"/>
      <c r="D103" s="194"/>
      <c r="E103" s="194"/>
      <c r="F103" s="194"/>
      <c r="G103" s="194"/>
      <c r="H103" s="194"/>
      <c r="I103" s="194"/>
      <c r="J103" s="194"/>
      <c r="K103" s="194"/>
      <c r="L103" s="194"/>
      <c r="M103" s="194"/>
      <c r="N103" s="194"/>
      <c r="O103" s="194"/>
      <c r="P103" s="194"/>
      <c r="Q103" s="194"/>
      <c r="R103" s="194"/>
      <c r="S103" s="194"/>
      <c r="T103" s="194"/>
      <c r="U103" s="194"/>
      <c r="V103" s="194"/>
      <c r="W103" s="194"/>
      <c r="X103" s="194"/>
      <c r="Y103" s="194"/>
      <c r="Z103" s="194"/>
      <c r="AA103" s="194"/>
      <c r="AB103" s="194"/>
      <c r="AC103" s="194"/>
      <c r="AD103" s="194"/>
      <c r="AE103" s="194"/>
      <c r="AF103" s="194"/>
      <c r="AG103" s="194"/>
      <c r="AH103" s="194"/>
      <c r="AI103" s="194"/>
      <c r="AJ103" s="194"/>
      <c r="AK103" s="194"/>
      <c r="AL103" s="55"/>
      <c r="AM103" s="55"/>
      <c r="AN103" s="55"/>
      <c r="AO103" s="55"/>
      <c r="AP103" s="55"/>
      <c r="AQ103" s="55"/>
      <c r="AR103" s="55"/>
      <c r="AS103" s="55"/>
      <c r="AT103" s="55"/>
      <c r="AU103" s="55"/>
      <c r="AV103" s="55"/>
      <c r="AW103" s="55"/>
      <c r="AX103" s="55"/>
      <c r="AY103" s="55"/>
      <c r="AZ103" s="55"/>
      <c r="BA103" s="55"/>
      <c r="BB103" s="55"/>
      <c r="BC103" s="55"/>
      <c r="BD103" s="55"/>
      <c r="BE103" s="55"/>
      <c r="BF103" s="55"/>
      <c r="BG103" s="55"/>
      <c r="BH103" s="55"/>
      <c r="BI103" s="55"/>
    </row>
    <row r="104" spans="1:61" x14ac:dyDescent="0.3">
      <c r="A104" s="193"/>
      <c r="B104" s="194"/>
      <c r="C104" s="194"/>
      <c r="D104" s="194"/>
      <c r="E104" s="194"/>
      <c r="F104" s="194"/>
      <c r="G104" s="194"/>
      <c r="H104" s="194"/>
      <c r="I104" s="194"/>
      <c r="J104" s="194"/>
      <c r="K104" s="194"/>
      <c r="L104" s="194"/>
      <c r="M104" s="194"/>
      <c r="N104" s="194"/>
      <c r="O104" s="194"/>
      <c r="P104" s="194"/>
      <c r="Q104" s="194"/>
      <c r="R104" s="194"/>
      <c r="S104" s="194"/>
      <c r="T104" s="194"/>
      <c r="U104" s="194"/>
      <c r="V104" s="194"/>
      <c r="W104" s="194"/>
      <c r="X104" s="194"/>
      <c r="Y104" s="194"/>
      <c r="Z104" s="194"/>
      <c r="AA104" s="194"/>
      <c r="AB104" s="194"/>
      <c r="AC104" s="194"/>
      <c r="AD104" s="194"/>
      <c r="AE104" s="194"/>
      <c r="AF104" s="194"/>
      <c r="AG104" s="194"/>
      <c r="AH104" s="194"/>
      <c r="AI104" s="194"/>
      <c r="AJ104" s="194"/>
      <c r="AK104" s="194"/>
      <c r="AL104" s="55"/>
      <c r="AM104" s="55"/>
      <c r="AN104" s="55"/>
      <c r="AO104" s="55"/>
      <c r="AP104" s="55"/>
      <c r="AQ104" s="55"/>
      <c r="AR104" s="55"/>
      <c r="AS104" s="55"/>
      <c r="AT104" s="55"/>
      <c r="AU104" s="55"/>
      <c r="AV104" s="55"/>
      <c r="AW104" s="55"/>
      <c r="AX104" s="55"/>
      <c r="AY104" s="55"/>
      <c r="AZ104" s="55"/>
      <c r="BA104" s="55"/>
      <c r="BB104" s="55"/>
      <c r="BC104" s="55"/>
      <c r="BD104" s="55"/>
      <c r="BE104" s="55"/>
      <c r="BF104" s="55"/>
      <c r="BG104" s="55"/>
      <c r="BH104" s="55"/>
      <c r="BI104" s="55"/>
    </row>
    <row r="105" spans="1:61" x14ac:dyDescent="0.3">
      <c r="A105" s="193"/>
      <c r="B105" s="194"/>
      <c r="C105" s="194"/>
      <c r="D105" s="194"/>
      <c r="E105" s="194"/>
      <c r="F105" s="194"/>
      <c r="G105" s="194"/>
      <c r="H105" s="194"/>
      <c r="I105" s="194"/>
      <c r="J105" s="194"/>
      <c r="K105" s="194"/>
      <c r="L105" s="194"/>
      <c r="M105" s="194"/>
      <c r="N105" s="194"/>
      <c r="O105" s="194"/>
      <c r="P105" s="194"/>
      <c r="Q105" s="194"/>
      <c r="R105" s="194"/>
      <c r="S105" s="194"/>
      <c r="T105" s="194"/>
      <c r="U105" s="194"/>
      <c r="V105" s="194"/>
      <c r="W105" s="194"/>
      <c r="X105" s="194"/>
      <c r="Y105" s="194"/>
      <c r="Z105" s="194"/>
      <c r="AA105" s="194"/>
      <c r="AB105" s="194"/>
      <c r="AC105" s="194"/>
      <c r="AD105" s="194"/>
      <c r="AE105" s="194"/>
      <c r="AF105" s="194"/>
      <c r="AG105" s="194"/>
      <c r="AH105" s="194"/>
      <c r="AI105" s="194"/>
      <c r="AJ105" s="194"/>
      <c r="AK105" s="194"/>
      <c r="AL105" s="55"/>
      <c r="AM105" s="55"/>
      <c r="AN105" s="55"/>
      <c r="AO105" s="55"/>
      <c r="AP105" s="55"/>
      <c r="AQ105" s="55"/>
      <c r="AR105" s="55"/>
      <c r="AS105" s="55"/>
      <c r="AT105" s="55"/>
      <c r="AU105" s="55"/>
      <c r="AV105" s="55"/>
      <c r="AW105" s="55"/>
      <c r="AX105" s="55"/>
      <c r="AY105" s="55"/>
      <c r="AZ105" s="55"/>
      <c r="BA105" s="55"/>
      <c r="BB105" s="55"/>
      <c r="BC105" s="55"/>
      <c r="BD105" s="55"/>
      <c r="BE105" s="55"/>
      <c r="BF105" s="55"/>
      <c r="BG105" s="55"/>
      <c r="BH105" s="55"/>
      <c r="BI105" s="55"/>
    </row>
    <row r="106" spans="1:61" x14ac:dyDescent="0.3">
      <c r="A106" s="193"/>
      <c r="B106" s="194"/>
      <c r="C106" s="194"/>
      <c r="D106" s="194"/>
      <c r="E106" s="194"/>
      <c r="F106" s="194"/>
      <c r="G106" s="194"/>
      <c r="H106" s="194"/>
      <c r="I106" s="194"/>
      <c r="J106" s="194"/>
      <c r="K106" s="194"/>
      <c r="L106" s="194"/>
      <c r="M106" s="194"/>
      <c r="N106" s="194"/>
      <c r="O106" s="194"/>
      <c r="P106" s="194"/>
      <c r="Q106" s="194"/>
      <c r="R106" s="194"/>
      <c r="S106" s="194"/>
      <c r="T106" s="194"/>
      <c r="U106" s="194"/>
      <c r="V106" s="194"/>
      <c r="W106" s="194"/>
      <c r="X106" s="194"/>
      <c r="Y106" s="194"/>
      <c r="Z106" s="194"/>
      <c r="AA106" s="194"/>
      <c r="AB106" s="194"/>
      <c r="AC106" s="194"/>
      <c r="AD106" s="194"/>
      <c r="AE106" s="194"/>
      <c r="AF106" s="194"/>
      <c r="AG106" s="194"/>
      <c r="AH106" s="194"/>
      <c r="AI106" s="194"/>
      <c r="AJ106" s="194"/>
      <c r="AK106" s="194"/>
      <c r="AL106" s="55"/>
      <c r="AM106" s="55"/>
      <c r="AN106" s="55"/>
      <c r="AO106" s="55"/>
      <c r="AP106" s="55"/>
      <c r="AQ106" s="55"/>
      <c r="AR106" s="55"/>
      <c r="AS106" s="55"/>
      <c r="AT106" s="55"/>
      <c r="AU106" s="55"/>
      <c r="AV106" s="55"/>
      <c r="AW106" s="55"/>
      <c r="AX106" s="55"/>
      <c r="AY106" s="55"/>
      <c r="AZ106" s="55"/>
      <c r="BA106" s="55"/>
      <c r="BB106" s="55"/>
      <c r="BC106" s="55"/>
      <c r="BD106" s="55"/>
      <c r="BE106" s="55"/>
      <c r="BF106" s="55"/>
      <c r="BG106" s="55"/>
      <c r="BH106" s="55"/>
      <c r="BI106" s="55"/>
    </row>
    <row r="107" spans="1:61" x14ac:dyDescent="0.3">
      <c r="A107" s="193"/>
      <c r="B107" s="194"/>
      <c r="C107" s="194"/>
      <c r="D107" s="194"/>
      <c r="E107" s="194"/>
      <c r="F107" s="194"/>
      <c r="G107" s="194"/>
      <c r="H107" s="194"/>
      <c r="I107" s="194"/>
      <c r="J107" s="194"/>
      <c r="K107" s="194"/>
      <c r="L107" s="194"/>
      <c r="M107" s="194"/>
      <c r="N107" s="194"/>
      <c r="O107" s="194"/>
      <c r="P107" s="194"/>
      <c r="Q107" s="194"/>
      <c r="R107" s="194"/>
      <c r="S107" s="194"/>
      <c r="T107" s="194"/>
      <c r="U107" s="194"/>
      <c r="V107" s="194"/>
      <c r="W107" s="194"/>
      <c r="X107" s="194"/>
      <c r="Y107" s="194"/>
      <c r="Z107" s="194"/>
      <c r="AA107" s="194"/>
      <c r="AB107" s="194"/>
      <c r="AC107" s="194"/>
      <c r="AD107" s="194"/>
      <c r="AE107" s="194"/>
      <c r="AF107" s="194"/>
      <c r="AG107" s="194"/>
      <c r="AH107" s="194"/>
      <c r="AI107" s="194"/>
      <c r="AJ107" s="194"/>
      <c r="AK107" s="194"/>
      <c r="AL107" s="55"/>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row>
    <row r="108" spans="1:61" x14ac:dyDescent="0.3">
      <c r="A108" s="193"/>
      <c r="B108" s="194"/>
      <c r="C108" s="194"/>
      <c r="D108" s="194"/>
      <c r="E108" s="194"/>
      <c r="F108" s="194"/>
      <c r="G108" s="194"/>
      <c r="H108" s="194"/>
      <c r="I108" s="194"/>
      <c r="J108" s="194"/>
      <c r="K108" s="194"/>
      <c r="L108" s="194"/>
      <c r="M108" s="194"/>
      <c r="N108" s="194"/>
      <c r="O108" s="194"/>
      <c r="P108" s="194"/>
      <c r="Q108" s="194"/>
      <c r="R108" s="194"/>
      <c r="S108" s="194"/>
      <c r="T108" s="194"/>
      <c r="U108" s="194"/>
      <c r="V108" s="194"/>
      <c r="W108" s="194"/>
      <c r="X108" s="194"/>
      <c r="Y108" s="194"/>
      <c r="Z108" s="194"/>
      <c r="AA108" s="194"/>
      <c r="AB108" s="194"/>
      <c r="AC108" s="194"/>
      <c r="AD108" s="194"/>
      <c r="AE108" s="194"/>
      <c r="AF108" s="194"/>
      <c r="AG108" s="194"/>
      <c r="AH108" s="194"/>
      <c r="AI108" s="194"/>
      <c r="AJ108" s="194"/>
      <c r="AK108" s="194"/>
      <c r="AL108" s="55"/>
      <c r="AM108" s="55"/>
      <c r="AN108" s="55"/>
      <c r="AO108" s="55"/>
      <c r="AP108" s="55"/>
      <c r="AQ108" s="55"/>
      <c r="AR108" s="55"/>
      <c r="AS108" s="55"/>
      <c r="AT108" s="55"/>
      <c r="AU108" s="55"/>
      <c r="AV108" s="55"/>
      <c r="AW108" s="55"/>
      <c r="AX108" s="55"/>
      <c r="AY108" s="55"/>
      <c r="AZ108" s="55"/>
      <c r="BA108" s="55"/>
      <c r="BB108" s="55"/>
      <c r="BC108" s="55"/>
      <c r="BD108" s="55"/>
      <c r="BE108" s="55"/>
      <c r="BF108" s="55"/>
      <c r="BG108" s="55"/>
      <c r="BH108" s="55"/>
      <c r="BI108" s="55"/>
    </row>
    <row r="109" spans="1:61" x14ac:dyDescent="0.3">
      <c r="A109" s="193"/>
      <c r="B109" s="194"/>
      <c r="C109" s="194"/>
      <c r="D109" s="194"/>
      <c r="E109" s="194"/>
      <c r="F109" s="194"/>
      <c r="G109" s="194"/>
      <c r="H109" s="194"/>
      <c r="I109" s="194"/>
      <c r="J109" s="194"/>
      <c r="K109" s="194"/>
      <c r="L109" s="194"/>
      <c r="M109" s="194"/>
      <c r="N109" s="194"/>
      <c r="O109" s="194"/>
      <c r="P109" s="194"/>
      <c r="Q109" s="194"/>
      <c r="R109" s="194"/>
      <c r="S109" s="194"/>
      <c r="T109" s="194"/>
      <c r="U109" s="194"/>
      <c r="V109" s="194"/>
      <c r="W109" s="194"/>
      <c r="X109" s="194"/>
      <c r="Y109" s="194"/>
      <c r="Z109" s="194"/>
      <c r="AA109" s="194"/>
      <c r="AB109" s="194"/>
      <c r="AC109" s="194"/>
      <c r="AD109" s="194"/>
      <c r="AE109" s="194"/>
      <c r="AF109" s="194"/>
      <c r="AG109" s="194"/>
      <c r="AH109" s="194"/>
      <c r="AI109" s="194"/>
      <c r="AJ109" s="194"/>
      <c r="AK109" s="194"/>
      <c r="AL109" s="55"/>
      <c r="AM109" s="55"/>
      <c r="AN109" s="55"/>
      <c r="AO109" s="55"/>
      <c r="AP109" s="55"/>
      <c r="AQ109" s="55"/>
      <c r="AR109" s="55"/>
      <c r="AS109" s="55"/>
      <c r="AT109" s="55"/>
      <c r="AU109" s="55"/>
      <c r="AV109" s="55"/>
      <c r="AW109" s="55"/>
      <c r="AX109" s="55"/>
      <c r="AY109" s="55"/>
      <c r="AZ109" s="55"/>
      <c r="BA109" s="55"/>
      <c r="BB109" s="55"/>
      <c r="BC109" s="55"/>
      <c r="BD109" s="55"/>
      <c r="BE109" s="55"/>
      <c r="BF109" s="55"/>
      <c r="BG109" s="55"/>
      <c r="BH109" s="55"/>
      <c r="BI109" s="55"/>
    </row>
    <row r="110" spans="1:61" x14ac:dyDescent="0.3">
      <c r="A110" s="193"/>
      <c r="B110" s="194"/>
      <c r="C110" s="194"/>
      <c r="D110" s="194"/>
      <c r="E110" s="194"/>
      <c r="F110" s="194"/>
      <c r="G110" s="194"/>
      <c r="H110" s="194"/>
      <c r="I110" s="194"/>
      <c r="J110" s="194"/>
      <c r="K110" s="194"/>
      <c r="L110" s="194"/>
      <c r="M110" s="194"/>
      <c r="N110" s="194"/>
      <c r="O110" s="194"/>
      <c r="P110" s="194"/>
      <c r="Q110" s="194"/>
      <c r="R110" s="194"/>
      <c r="S110" s="194"/>
      <c r="T110" s="194"/>
      <c r="U110" s="194"/>
      <c r="V110" s="194"/>
      <c r="W110" s="194"/>
      <c r="X110" s="194"/>
      <c r="Y110" s="194"/>
      <c r="Z110" s="194"/>
      <c r="AA110" s="194"/>
      <c r="AB110" s="194"/>
      <c r="AC110" s="194"/>
      <c r="AD110" s="194"/>
      <c r="AE110" s="194"/>
      <c r="AF110" s="194"/>
      <c r="AG110" s="194"/>
      <c r="AH110" s="194"/>
      <c r="AI110" s="194"/>
      <c r="AJ110" s="194"/>
      <c r="AK110" s="194"/>
      <c r="AL110" s="55"/>
      <c r="AM110" s="55"/>
      <c r="AN110" s="55"/>
      <c r="AO110" s="55"/>
      <c r="AP110" s="55"/>
      <c r="AQ110" s="55"/>
      <c r="AR110" s="55"/>
      <c r="AS110" s="55"/>
      <c r="AT110" s="55"/>
      <c r="AU110" s="55"/>
      <c r="AV110" s="55"/>
      <c r="AW110" s="55"/>
      <c r="AX110" s="55"/>
      <c r="AY110" s="55"/>
      <c r="AZ110" s="55"/>
      <c r="BA110" s="55"/>
      <c r="BB110" s="55"/>
      <c r="BC110" s="55"/>
      <c r="BD110" s="55"/>
      <c r="BE110" s="55"/>
      <c r="BF110" s="55"/>
      <c r="BG110" s="55"/>
      <c r="BH110" s="55"/>
      <c r="BI110" s="55"/>
    </row>
    <row r="111" spans="1:61" x14ac:dyDescent="0.3">
      <c r="A111" s="193"/>
      <c r="B111" s="194"/>
      <c r="C111" s="194"/>
      <c r="D111" s="194"/>
      <c r="E111" s="194"/>
      <c r="F111" s="194"/>
      <c r="G111" s="194"/>
      <c r="H111" s="194"/>
      <c r="I111" s="194"/>
      <c r="J111" s="194"/>
      <c r="K111" s="194"/>
      <c r="L111" s="194"/>
      <c r="M111" s="194"/>
      <c r="N111" s="194"/>
      <c r="O111" s="194"/>
      <c r="P111" s="194"/>
      <c r="Q111" s="194"/>
      <c r="R111" s="194"/>
      <c r="S111" s="194"/>
      <c r="T111" s="194"/>
      <c r="U111" s="194"/>
      <c r="V111" s="194"/>
      <c r="W111" s="194"/>
      <c r="X111" s="194"/>
      <c r="Y111" s="194"/>
      <c r="Z111" s="194"/>
      <c r="AA111" s="194"/>
      <c r="AB111" s="194"/>
      <c r="AC111" s="194"/>
      <c r="AD111" s="194"/>
      <c r="AE111" s="194"/>
      <c r="AF111" s="194"/>
      <c r="AG111" s="194"/>
      <c r="AH111" s="194"/>
      <c r="AI111" s="194"/>
      <c r="AJ111" s="194"/>
      <c r="AK111" s="194"/>
      <c r="AL111" s="55"/>
      <c r="AM111" s="55"/>
      <c r="AN111" s="55"/>
      <c r="AO111" s="55"/>
      <c r="AP111" s="55"/>
      <c r="AQ111" s="55"/>
      <c r="AR111" s="55"/>
      <c r="AS111" s="55"/>
      <c r="AT111" s="55"/>
      <c r="AU111" s="55"/>
      <c r="AV111" s="55"/>
      <c r="AW111" s="55"/>
      <c r="AX111" s="55"/>
      <c r="AY111" s="55"/>
      <c r="AZ111" s="55"/>
      <c r="BA111" s="55"/>
      <c r="BB111" s="55"/>
      <c r="BC111" s="55"/>
      <c r="BD111" s="55"/>
      <c r="BE111" s="55"/>
      <c r="BF111" s="55"/>
      <c r="BG111" s="55"/>
      <c r="BH111" s="55"/>
      <c r="BI111" s="55"/>
    </row>
    <row r="112" spans="1:61" x14ac:dyDescent="0.3">
      <c r="A112" s="193"/>
      <c r="B112" s="194"/>
      <c r="C112" s="194"/>
      <c r="D112" s="194"/>
      <c r="E112" s="194"/>
      <c r="F112" s="194"/>
      <c r="G112" s="194"/>
      <c r="H112" s="194"/>
      <c r="I112" s="194"/>
      <c r="J112" s="194"/>
      <c r="K112" s="194"/>
      <c r="L112" s="194"/>
      <c r="M112" s="194"/>
      <c r="N112" s="194"/>
      <c r="O112" s="194"/>
      <c r="P112" s="194"/>
      <c r="Q112" s="194"/>
      <c r="R112" s="194"/>
      <c r="S112" s="194"/>
      <c r="T112" s="194"/>
      <c r="U112" s="194"/>
      <c r="V112" s="194"/>
      <c r="W112" s="194"/>
      <c r="X112" s="194"/>
      <c r="Y112" s="194"/>
      <c r="Z112" s="194"/>
      <c r="AA112" s="194"/>
      <c r="AB112" s="194"/>
      <c r="AC112" s="194"/>
      <c r="AD112" s="194"/>
      <c r="AE112" s="194"/>
      <c r="AF112" s="194"/>
      <c r="AG112" s="194"/>
      <c r="AH112" s="194"/>
      <c r="AI112" s="194"/>
      <c r="AJ112" s="194"/>
      <c r="AK112" s="194"/>
      <c r="AL112" s="55"/>
      <c r="AM112" s="55"/>
      <c r="AN112" s="55"/>
      <c r="AO112" s="55"/>
      <c r="AP112" s="55"/>
      <c r="AQ112" s="55"/>
      <c r="AR112" s="55"/>
      <c r="AS112" s="55"/>
      <c r="AT112" s="55"/>
      <c r="AU112" s="55"/>
      <c r="AV112" s="55"/>
      <c r="AW112" s="55"/>
      <c r="AX112" s="55"/>
      <c r="AY112" s="55"/>
      <c r="AZ112" s="55"/>
      <c r="BA112" s="55"/>
      <c r="BB112" s="55"/>
      <c r="BC112" s="55"/>
      <c r="BD112" s="55"/>
      <c r="BE112" s="55"/>
      <c r="BF112" s="55"/>
      <c r="BG112" s="55"/>
      <c r="BH112" s="55"/>
      <c r="BI112" s="55"/>
    </row>
    <row r="113" spans="1:61" x14ac:dyDescent="0.3">
      <c r="A113" s="193"/>
      <c r="B113" s="194"/>
      <c r="C113" s="194"/>
      <c r="D113" s="194"/>
      <c r="E113" s="194"/>
      <c r="F113" s="194"/>
      <c r="G113" s="194"/>
      <c r="H113" s="194"/>
      <c r="I113" s="194"/>
      <c r="J113" s="194"/>
      <c r="K113" s="194"/>
      <c r="L113" s="194"/>
      <c r="M113" s="194"/>
      <c r="N113" s="194"/>
      <c r="O113" s="194"/>
      <c r="P113" s="194"/>
      <c r="Q113" s="194"/>
      <c r="R113" s="194"/>
      <c r="S113" s="194"/>
      <c r="T113" s="194"/>
      <c r="U113" s="194"/>
      <c r="V113" s="194"/>
      <c r="W113" s="194"/>
      <c r="X113" s="194"/>
      <c r="Y113" s="194"/>
      <c r="Z113" s="194"/>
      <c r="AA113" s="194"/>
      <c r="AB113" s="194"/>
      <c r="AC113" s="194"/>
      <c r="AD113" s="194"/>
      <c r="AE113" s="194"/>
      <c r="AF113" s="194"/>
      <c r="AG113" s="194"/>
      <c r="AH113" s="194"/>
      <c r="AI113" s="194"/>
      <c r="AJ113" s="194"/>
      <c r="AK113" s="194"/>
      <c r="AL113" s="55"/>
      <c r="AM113" s="55"/>
      <c r="AN113" s="55"/>
      <c r="AO113" s="55"/>
      <c r="AP113" s="55"/>
      <c r="AQ113" s="55"/>
      <c r="AR113" s="55"/>
      <c r="AS113" s="55"/>
      <c r="AT113" s="55"/>
      <c r="AU113" s="55"/>
      <c r="AV113" s="55"/>
      <c r="AW113" s="55"/>
      <c r="AX113" s="55"/>
      <c r="AY113" s="55"/>
      <c r="AZ113" s="55"/>
      <c r="BA113" s="55"/>
      <c r="BB113" s="55"/>
      <c r="BC113" s="55"/>
      <c r="BD113" s="55"/>
      <c r="BE113" s="55"/>
      <c r="BF113" s="55"/>
      <c r="BG113" s="55"/>
      <c r="BH113" s="55"/>
      <c r="BI113" s="55"/>
    </row>
    <row r="114" spans="1:61" x14ac:dyDescent="0.3">
      <c r="A114" s="193"/>
      <c r="B114" s="194"/>
      <c r="C114" s="194"/>
      <c r="D114" s="194"/>
      <c r="E114" s="194"/>
      <c r="F114" s="194"/>
      <c r="G114" s="194"/>
      <c r="H114" s="194"/>
      <c r="I114" s="194"/>
      <c r="J114" s="194"/>
      <c r="K114" s="194"/>
      <c r="L114" s="194"/>
      <c r="M114" s="194"/>
      <c r="N114" s="194"/>
      <c r="O114" s="194"/>
      <c r="P114" s="194"/>
      <c r="Q114" s="194"/>
      <c r="R114" s="194"/>
      <c r="S114" s="194"/>
      <c r="T114" s="194"/>
      <c r="U114" s="194"/>
      <c r="V114" s="194"/>
      <c r="W114" s="194"/>
      <c r="X114" s="194"/>
      <c r="Y114" s="194"/>
      <c r="Z114" s="194"/>
      <c r="AA114" s="194"/>
      <c r="AB114" s="194"/>
      <c r="AC114" s="194"/>
      <c r="AD114" s="194"/>
      <c r="AE114" s="194"/>
      <c r="AF114" s="194"/>
      <c r="AG114" s="194"/>
      <c r="AH114" s="194"/>
      <c r="AI114" s="194"/>
      <c r="AJ114" s="194"/>
      <c r="AK114" s="194"/>
      <c r="AL114" s="55"/>
      <c r="AM114" s="55"/>
      <c r="AN114" s="55"/>
      <c r="AO114" s="55"/>
      <c r="AP114" s="55"/>
      <c r="AQ114" s="55"/>
      <c r="AR114" s="55"/>
      <c r="AS114" s="55"/>
      <c r="AT114" s="55"/>
      <c r="AU114" s="55"/>
      <c r="AV114" s="55"/>
      <c r="AW114" s="55"/>
      <c r="AX114" s="55"/>
      <c r="AY114" s="55"/>
      <c r="AZ114" s="55"/>
      <c r="BA114" s="55"/>
      <c r="BB114" s="55"/>
      <c r="BC114" s="55"/>
      <c r="BD114" s="55"/>
      <c r="BE114" s="55"/>
      <c r="BF114" s="55"/>
      <c r="BG114" s="55"/>
      <c r="BH114" s="55"/>
      <c r="BI114" s="55"/>
    </row>
    <row r="115" spans="1:61" x14ac:dyDescent="0.3">
      <c r="A115" s="193"/>
      <c r="B115" s="194"/>
      <c r="C115" s="194"/>
      <c r="D115" s="194"/>
      <c r="E115" s="194"/>
      <c r="F115" s="194"/>
      <c r="G115" s="194"/>
      <c r="H115" s="194"/>
      <c r="I115" s="194"/>
      <c r="J115" s="194"/>
      <c r="K115" s="194"/>
      <c r="L115" s="194"/>
      <c r="M115" s="194"/>
      <c r="N115" s="194"/>
      <c r="O115" s="194"/>
      <c r="P115" s="194"/>
      <c r="Q115" s="194"/>
      <c r="R115" s="194"/>
      <c r="S115" s="194"/>
      <c r="T115" s="194"/>
      <c r="U115" s="194"/>
      <c r="V115" s="194"/>
      <c r="W115" s="194"/>
      <c r="X115" s="194"/>
      <c r="Y115" s="194"/>
      <c r="Z115" s="194"/>
      <c r="AA115" s="194"/>
      <c r="AB115" s="194"/>
      <c r="AC115" s="194"/>
      <c r="AD115" s="194"/>
      <c r="AE115" s="194"/>
      <c r="AF115" s="194"/>
      <c r="AG115" s="194"/>
      <c r="AH115" s="194"/>
      <c r="AI115" s="194"/>
      <c r="AJ115" s="194"/>
      <c r="AK115" s="194"/>
      <c r="AL115" s="55"/>
      <c r="AM115" s="55"/>
      <c r="AN115" s="55"/>
      <c r="AO115" s="55"/>
      <c r="AP115" s="55"/>
      <c r="AQ115" s="55"/>
      <c r="AR115" s="55"/>
      <c r="AS115" s="55"/>
      <c r="AT115" s="55"/>
      <c r="AU115" s="55"/>
      <c r="AV115" s="55"/>
      <c r="AW115" s="55"/>
      <c r="AX115" s="55"/>
      <c r="AY115" s="55"/>
      <c r="AZ115" s="55"/>
      <c r="BA115" s="55"/>
      <c r="BB115" s="55"/>
      <c r="BC115" s="55"/>
      <c r="BD115" s="55"/>
      <c r="BE115" s="55"/>
      <c r="BF115" s="55"/>
      <c r="BG115" s="55"/>
      <c r="BH115" s="55"/>
      <c r="BI115" s="55"/>
    </row>
    <row r="116" spans="1:61" x14ac:dyDescent="0.3">
      <c r="A116" s="193"/>
      <c r="B116" s="194"/>
      <c r="C116" s="194"/>
      <c r="D116" s="194"/>
      <c r="E116" s="194"/>
      <c r="F116" s="194"/>
      <c r="G116" s="194"/>
      <c r="H116" s="194"/>
      <c r="I116" s="194"/>
      <c r="J116" s="194"/>
      <c r="K116" s="194"/>
      <c r="L116" s="194"/>
      <c r="M116" s="194"/>
      <c r="N116" s="194"/>
      <c r="O116" s="194"/>
      <c r="P116" s="194"/>
      <c r="Q116" s="194"/>
      <c r="R116" s="194"/>
      <c r="S116" s="194"/>
      <c r="T116" s="194"/>
      <c r="U116" s="194"/>
      <c r="V116" s="194"/>
      <c r="W116" s="194"/>
      <c r="X116" s="194"/>
      <c r="Y116" s="194"/>
      <c r="Z116" s="194"/>
      <c r="AA116" s="194"/>
      <c r="AB116" s="194"/>
      <c r="AC116" s="194"/>
      <c r="AD116" s="194"/>
      <c r="AE116" s="194"/>
      <c r="AF116" s="194"/>
      <c r="AG116" s="194"/>
      <c r="AH116" s="194"/>
      <c r="AI116" s="194"/>
      <c r="AJ116" s="194"/>
      <c r="AK116" s="194"/>
      <c r="AL116" s="55"/>
      <c r="AM116" s="55"/>
      <c r="AN116" s="55"/>
      <c r="AO116" s="55"/>
      <c r="AP116" s="55"/>
      <c r="AQ116" s="55"/>
      <c r="AR116" s="55"/>
      <c r="AS116" s="55"/>
      <c r="AT116" s="55"/>
      <c r="AU116" s="55"/>
      <c r="AV116" s="55"/>
      <c r="AW116" s="55"/>
      <c r="AX116" s="55"/>
      <c r="AY116" s="55"/>
      <c r="AZ116" s="55"/>
      <c r="BA116" s="55"/>
      <c r="BB116" s="55"/>
      <c r="BC116" s="55"/>
      <c r="BD116" s="55"/>
      <c r="BE116" s="55"/>
      <c r="BF116" s="55"/>
      <c r="BG116" s="55"/>
      <c r="BH116" s="55"/>
      <c r="BI116" s="55"/>
    </row>
    <row r="117" spans="1:61" x14ac:dyDescent="0.3">
      <c r="A117" s="193"/>
      <c r="B117" s="194"/>
      <c r="C117" s="194"/>
      <c r="D117" s="194"/>
      <c r="E117" s="194"/>
      <c r="F117" s="194"/>
      <c r="G117" s="194"/>
      <c r="H117" s="194"/>
      <c r="I117" s="194"/>
      <c r="J117" s="194"/>
      <c r="K117" s="194"/>
      <c r="L117" s="194"/>
      <c r="M117" s="194"/>
      <c r="N117" s="194"/>
      <c r="O117" s="194"/>
      <c r="P117" s="194"/>
      <c r="Q117" s="194"/>
      <c r="R117" s="194"/>
      <c r="S117" s="194"/>
      <c r="T117" s="194"/>
      <c r="U117" s="194"/>
      <c r="V117" s="194"/>
      <c r="W117" s="194"/>
      <c r="X117" s="194"/>
      <c r="Y117" s="194"/>
      <c r="Z117" s="194"/>
      <c r="AA117" s="194"/>
      <c r="AB117" s="194"/>
      <c r="AC117" s="194"/>
      <c r="AD117" s="194"/>
      <c r="AE117" s="194"/>
      <c r="AF117" s="194"/>
      <c r="AG117" s="194"/>
      <c r="AH117" s="194"/>
      <c r="AI117" s="194"/>
      <c r="AJ117" s="194"/>
      <c r="AK117" s="194"/>
      <c r="AL117" s="55"/>
      <c r="AM117" s="55"/>
      <c r="AN117" s="55"/>
      <c r="AO117" s="55"/>
      <c r="AP117" s="55"/>
      <c r="AQ117" s="55"/>
      <c r="AR117" s="55"/>
      <c r="AS117" s="55"/>
      <c r="AT117" s="55"/>
      <c r="AU117" s="55"/>
      <c r="AV117" s="55"/>
      <c r="AW117" s="55"/>
      <c r="AX117" s="55"/>
      <c r="AY117" s="55"/>
      <c r="AZ117" s="55"/>
      <c r="BA117" s="55"/>
      <c r="BB117" s="55"/>
      <c r="BC117" s="55"/>
      <c r="BD117" s="55"/>
      <c r="BE117" s="55"/>
      <c r="BF117" s="55"/>
      <c r="BG117" s="55"/>
      <c r="BH117" s="55"/>
      <c r="BI117" s="55"/>
    </row>
    <row r="118" spans="1:61" x14ac:dyDescent="0.3">
      <c r="A118" s="193"/>
      <c r="B118" s="194"/>
      <c r="C118" s="194"/>
      <c r="D118" s="194"/>
      <c r="E118" s="194"/>
      <c r="F118" s="194"/>
      <c r="G118" s="194"/>
      <c r="H118" s="194"/>
      <c r="I118" s="194"/>
      <c r="J118" s="194"/>
      <c r="K118" s="194"/>
      <c r="L118" s="194"/>
      <c r="M118" s="194"/>
      <c r="N118" s="194"/>
      <c r="O118" s="194"/>
      <c r="P118" s="194"/>
      <c r="Q118" s="194"/>
      <c r="R118" s="194"/>
      <c r="S118" s="194"/>
      <c r="T118" s="194"/>
      <c r="U118" s="194"/>
      <c r="V118" s="194"/>
      <c r="W118" s="194"/>
      <c r="X118" s="194"/>
      <c r="Y118" s="194"/>
      <c r="Z118" s="194"/>
      <c r="AA118" s="194"/>
      <c r="AB118" s="194"/>
      <c r="AC118" s="194"/>
      <c r="AD118" s="194"/>
      <c r="AE118" s="194"/>
      <c r="AF118" s="194"/>
      <c r="AG118" s="194"/>
      <c r="AH118" s="194"/>
      <c r="AI118" s="194"/>
      <c r="AJ118" s="194"/>
      <c r="AK118" s="194"/>
      <c r="AL118" s="55"/>
      <c r="AM118" s="55"/>
      <c r="AN118" s="55"/>
      <c r="AO118" s="55"/>
      <c r="AP118" s="55"/>
      <c r="AQ118" s="55"/>
      <c r="AR118" s="55"/>
      <c r="AS118" s="55"/>
      <c r="AT118" s="55"/>
      <c r="AU118" s="55"/>
      <c r="AV118" s="55"/>
      <c r="AW118" s="55"/>
      <c r="AX118" s="55"/>
      <c r="AY118" s="55"/>
      <c r="AZ118" s="55"/>
      <c r="BA118" s="55"/>
      <c r="BB118" s="55"/>
      <c r="BC118" s="55"/>
      <c r="BD118" s="55"/>
      <c r="BE118" s="55"/>
      <c r="BF118" s="55"/>
      <c r="BG118" s="55"/>
      <c r="BH118" s="55"/>
      <c r="BI118" s="55"/>
    </row>
    <row r="119" spans="1:61" x14ac:dyDescent="0.3">
      <c r="A119" s="193"/>
      <c r="B119" s="194"/>
      <c r="C119" s="194"/>
      <c r="D119" s="194"/>
      <c r="E119" s="194"/>
      <c r="F119" s="194"/>
      <c r="G119" s="194"/>
      <c r="H119" s="194"/>
      <c r="I119" s="194"/>
      <c r="J119" s="194"/>
      <c r="K119" s="194"/>
      <c r="L119" s="194"/>
      <c r="M119" s="194"/>
      <c r="N119" s="194"/>
      <c r="O119" s="194"/>
      <c r="P119" s="194"/>
      <c r="Q119" s="194"/>
      <c r="R119" s="194"/>
      <c r="S119" s="194"/>
      <c r="T119" s="194"/>
      <c r="U119" s="194"/>
      <c r="V119" s="194"/>
      <c r="W119" s="194"/>
      <c r="X119" s="194"/>
      <c r="Y119" s="194"/>
      <c r="Z119" s="194"/>
      <c r="AA119" s="194"/>
      <c r="AB119" s="194"/>
      <c r="AC119" s="194"/>
      <c r="AD119" s="194"/>
      <c r="AE119" s="194"/>
      <c r="AF119" s="194"/>
      <c r="AG119" s="194"/>
      <c r="AH119" s="194"/>
      <c r="AI119" s="194"/>
      <c r="AJ119" s="194"/>
      <c r="AK119" s="194"/>
      <c r="AL119" s="55"/>
      <c r="AM119" s="55"/>
      <c r="AN119" s="55"/>
      <c r="AO119" s="55"/>
      <c r="AP119" s="55"/>
      <c r="AQ119" s="55"/>
      <c r="AR119" s="55"/>
      <c r="AS119" s="55"/>
      <c r="AT119" s="55"/>
      <c r="AU119" s="55"/>
      <c r="AV119" s="55"/>
      <c r="AW119" s="55"/>
      <c r="AX119" s="55"/>
      <c r="AY119" s="55"/>
      <c r="AZ119" s="55"/>
      <c r="BA119" s="55"/>
      <c r="BB119" s="55"/>
      <c r="BC119" s="55"/>
      <c r="BD119" s="55"/>
      <c r="BE119" s="55"/>
      <c r="BF119" s="55"/>
      <c r="BG119" s="55"/>
      <c r="BH119" s="55"/>
      <c r="BI119" s="55"/>
    </row>
    <row r="120" spans="1:61" x14ac:dyDescent="0.3">
      <c r="A120" s="193"/>
      <c r="B120" s="194"/>
      <c r="C120" s="194"/>
      <c r="D120" s="194"/>
      <c r="E120" s="194"/>
      <c r="F120" s="194"/>
      <c r="G120" s="194"/>
      <c r="H120" s="194"/>
      <c r="I120" s="194"/>
      <c r="J120" s="194"/>
      <c r="K120" s="194"/>
      <c r="L120" s="194"/>
      <c r="M120" s="194"/>
      <c r="N120" s="194"/>
      <c r="O120" s="194"/>
      <c r="P120" s="194"/>
      <c r="Q120" s="194"/>
      <c r="R120" s="194"/>
      <c r="S120" s="194"/>
      <c r="T120" s="194"/>
      <c r="U120" s="194"/>
      <c r="V120" s="194"/>
      <c r="W120" s="194"/>
      <c r="X120" s="194"/>
      <c r="Y120" s="194"/>
      <c r="Z120" s="194"/>
      <c r="AA120" s="194"/>
      <c r="AB120" s="194"/>
      <c r="AC120" s="194"/>
      <c r="AD120" s="194"/>
      <c r="AE120" s="194"/>
      <c r="AF120" s="194"/>
      <c r="AG120" s="194"/>
      <c r="AH120" s="194"/>
      <c r="AI120" s="194"/>
      <c r="AJ120" s="194"/>
      <c r="AK120" s="194"/>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row>
    <row r="121" spans="1:61" x14ac:dyDescent="0.3">
      <c r="A121" s="193"/>
      <c r="B121" s="194"/>
      <c r="C121" s="194"/>
      <c r="D121" s="194"/>
      <c r="E121" s="194"/>
      <c r="F121" s="194"/>
      <c r="G121" s="194"/>
      <c r="H121" s="194"/>
      <c r="I121" s="194"/>
      <c r="J121" s="194"/>
      <c r="K121" s="194"/>
      <c r="L121" s="194"/>
      <c r="M121" s="194"/>
      <c r="N121" s="194"/>
      <c r="O121" s="194"/>
      <c r="P121" s="194"/>
      <c r="Q121" s="194"/>
      <c r="R121" s="194"/>
      <c r="S121" s="194"/>
      <c r="T121" s="194"/>
      <c r="U121" s="194"/>
      <c r="V121" s="194"/>
      <c r="W121" s="194"/>
      <c r="X121" s="194"/>
      <c r="Y121" s="194"/>
      <c r="Z121" s="194"/>
      <c r="AA121" s="194"/>
      <c r="AB121" s="194"/>
      <c r="AC121" s="194"/>
      <c r="AD121" s="194"/>
      <c r="AE121" s="194"/>
      <c r="AF121" s="194"/>
      <c r="AG121" s="194"/>
      <c r="AH121" s="194"/>
      <c r="AI121" s="194"/>
      <c r="AJ121" s="194"/>
      <c r="AK121" s="194"/>
      <c r="AL121" s="55"/>
      <c r="AM121" s="55"/>
      <c r="AN121" s="55"/>
      <c r="AO121" s="55"/>
      <c r="AP121" s="55"/>
      <c r="AQ121" s="55"/>
      <c r="AR121" s="55"/>
      <c r="AS121" s="55"/>
      <c r="AT121" s="55"/>
      <c r="AU121" s="55"/>
      <c r="AV121" s="55"/>
      <c r="AW121" s="55"/>
      <c r="AX121" s="55"/>
      <c r="AY121" s="55"/>
      <c r="AZ121" s="55"/>
      <c r="BA121" s="55"/>
      <c r="BB121" s="55"/>
      <c r="BC121" s="55"/>
      <c r="BD121" s="55"/>
      <c r="BE121" s="55"/>
      <c r="BF121" s="55"/>
      <c r="BG121" s="55"/>
      <c r="BH121" s="55"/>
      <c r="BI121" s="55"/>
    </row>
    <row r="122" spans="1:61" x14ac:dyDescent="0.3">
      <c r="A122" s="193"/>
      <c r="B122" s="194"/>
      <c r="C122" s="194"/>
      <c r="D122" s="194"/>
      <c r="E122" s="194"/>
      <c r="F122" s="194"/>
      <c r="G122" s="194"/>
      <c r="H122" s="194"/>
      <c r="I122" s="194"/>
      <c r="J122" s="194"/>
      <c r="K122" s="194"/>
      <c r="L122" s="194"/>
      <c r="M122" s="194"/>
      <c r="N122" s="194"/>
      <c r="O122" s="194"/>
      <c r="P122" s="194"/>
      <c r="Q122" s="194"/>
      <c r="R122" s="194"/>
      <c r="S122" s="194"/>
      <c r="T122" s="194"/>
      <c r="U122" s="194"/>
      <c r="V122" s="194"/>
      <c r="W122" s="194"/>
      <c r="X122" s="194"/>
      <c r="Y122" s="194"/>
      <c r="Z122" s="194"/>
      <c r="AA122" s="194"/>
      <c r="AB122" s="194"/>
      <c r="AC122" s="194"/>
      <c r="AD122" s="194"/>
      <c r="AE122" s="194"/>
      <c r="AF122" s="194"/>
      <c r="AG122" s="194"/>
      <c r="AH122" s="194"/>
      <c r="AI122" s="194"/>
      <c r="AJ122" s="194"/>
      <c r="AK122" s="194"/>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row>
    <row r="123" spans="1:61" x14ac:dyDescent="0.3">
      <c r="A123" s="193"/>
      <c r="B123" s="194"/>
      <c r="C123" s="194"/>
      <c r="D123" s="194"/>
      <c r="E123" s="194"/>
      <c r="F123" s="194"/>
      <c r="G123" s="194"/>
      <c r="H123" s="194"/>
      <c r="I123" s="194"/>
      <c r="J123" s="194"/>
      <c r="K123" s="194"/>
      <c r="L123" s="194"/>
      <c r="M123" s="194"/>
      <c r="N123" s="194"/>
      <c r="O123" s="194"/>
      <c r="P123" s="194"/>
      <c r="Q123" s="194"/>
      <c r="R123" s="194"/>
      <c r="S123" s="194"/>
      <c r="T123" s="194"/>
      <c r="U123" s="194"/>
      <c r="V123" s="194"/>
      <c r="W123" s="194"/>
      <c r="X123" s="194"/>
      <c r="Y123" s="194"/>
      <c r="Z123" s="194"/>
      <c r="AA123" s="194"/>
      <c r="AB123" s="194"/>
      <c r="AC123" s="194"/>
      <c r="AD123" s="194"/>
      <c r="AE123" s="194"/>
      <c r="AF123" s="194"/>
      <c r="AG123" s="194"/>
      <c r="AH123" s="194"/>
      <c r="AI123" s="194"/>
      <c r="AJ123" s="194"/>
      <c r="AK123" s="194"/>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row>
    <row r="124" spans="1:61" x14ac:dyDescent="0.3">
      <c r="A124" s="193"/>
      <c r="B124" s="194"/>
      <c r="C124" s="194"/>
      <c r="D124" s="194"/>
      <c r="E124" s="194"/>
      <c r="F124" s="194"/>
      <c r="G124" s="194"/>
      <c r="H124" s="194"/>
      <c r="I124" s="194"/>
      <c r="J124" s="194"/>
      <c r="K124" s="194"/>
      <c r="L124" s="194"/>
      <c r="M124" s="194"/>
      <c r="N124" s="194"/>
      <c r="O124" s="194"/>
      <c r="P124" s="194"/>
      <c r="Q124" s="194"/>
      <c r="R124" s="194"/>
      <c r="S124" s="194"/>
      <c r="T124" s="194"/>
      <c r="U124" s="194"/>
      <c r="V124" s="194"/>
      <c r="W124" s="194"/>
      <c r="X124" s="194"/>
      <c r="Y124" s="194"/>
      <c r="Z124" s="194"/>
      <c r="AA124" s="194"/>
      <c r="AB124" s="194"/>
      <c r="AC124" s="194"/>
      <c r="AD124" s="194"/>
      <c r="AE124" s="194"/>
      <c r="AF124" s="194"/>
      <c r="AG124" s="194"/>
      <c r="AH124" s="194"/>
      <c r="AI124" s="194"/>
      <c r="AJ124" s="194"/>
      <c r="AK124" s="194"/>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9A0CC-86AD-46F6-8ADC-ACFCFE0C8047}">
  <sheetPr>
    <tabColor theme="5" tint="0.79998168889431442"/>
  </sheetPr>
  <dimension ref="A1:G130"/>
  <sheetViews>
    <sheetView workbookViewId="0">
      <selection activeCell="H17" sqref="H17"/>
    </sheetView>
  </sheetViews>
  <sheetFormatPr defaultRowHeight="14.4" x14ac:dyDescent="0.3"/>
  <cols>
    <col min="1" max="1" width="18.109375" bestFit="1" customWidth="1"/>
    <col min="2" max="2" width="5" customWidth="1"/>
    <col min="3" max="3" width="16.44140625" bestFit="1" customWidth="1"/>
    <col min="4" max="4" width="6" customWidth="1"/>
  </cols>
  <sheetData>
    <row r="1" spans="1:7" x14ac:dyDescent="0.3">
      <c r="A1" s="55" t="s">
        <v>590</v>
      </c>
      <c r="C1" s="10" t="s">
        <v>591</v>
      </c>
      <c r="E1" t="s">
        <v>592</v>
      </c>
      <c r="G1" t="s">
        <v>593</v>
      </c>
    </row>
    <row r="2" spans="1:7" x14ac:dyDescent="0.3">
      <c r="A2" s="55" t="s">
        <v>402</v>
      </c>
      <c r="C2" s="11" t="s">
        <v>402</v>
      </c>
      <c r="E2">
        <f>IF(A2=C2,0,1)</f>
        <v>0</v>
      </c>
      <c r="G2">
        <f>SUM(E:E)</f>
        <v>0</v>
      </c>
    </row>
    <row r="3" spans="1:7" x14ac:dyDescent="0.3">
      <c r="A3" s="55" t="s">
        <v>472</v>
      </c>
      <c r="C3" s="9" t="s">
        <v>472</v>
      </c>
      <c r="E3">
        <f t="shared" ref="E3:E66" si="0">IF(A3=C3,0,1)</f>
        <v>0</v>
      </c>
    </row>
    <row r="4" spans="1:7" x14ac:dyDescent="0.3">
      <c r="A4" s="55" t="s">
        <v>524</v>
      </c>
      <c r="C4" s="9" t="s">
        <v>524</v>
      </c>
      <c r="E4">
        <f t="shared" si="0"/>
        <v>0</v>
      </c>
    </row>
    <row r="5" spans="1:7" x14ac:dyDescent="0.3">
      <c r="A5" s="55" t="s">
        <v>378</v>
      </c>
      <c r="C5" s="9" t="s">
        <v>378</v>
      </c>
      <c r="E5">
        <f t="shared" si="0"/>
        <v>0</v>
      </c>
    </row>
    <row r="6" spans="1:7" x14ac:dyDescent="0.3">
      <c r="A6" s="55" t="s">
        <v>281</v>
      </c>
      <c r="C6" s="9" t="s">
        <v>281</v>
      </c>
      <c r="E6">
        <f t="shared" si="0"/>
        <v>0</v>
      </c>
    </row>
    <row r="7" spans="1:7" x14ac:dyDescent="0.3">
      <c r="A7" s="55" t="s">
        <v>398</v>
      </c>
      <c r="C7" s="9" t="s">
        <v>398</v>
      </c>
      <c r="E7">
        <f t="shared" si="0"/>
        <v>0</v>
      </c>
    </row>
    <row r="8" spans="1:7" x14ac:dyDescent="0.3">
      <c r="A8" s="55" t="s">
        <v>452</v>
      </c>
      <c r="C8" s="9" t="s">
        <v>452</v>
      </c>
      <c r="E8">
        <f t="shared" si="0"/>
        <v>0</v>
      </c>
    </row>
    <row r="9" spans="1:7" x14ac:dyDescent="0.3">
      <c r="A9" s="55" t="s">
        <v>552</v>
      </c>
      <c r="C9" s="9" t="s">
        <v>552</v>
      </c>
      <c r="E9">
        <f t="shared" si="0"/>
        <v>0</v>
      </c>
    </row>
    <row r="10" spans="1:7" x14ac:dyDescent="0.3">
      <c r="A10" s="55" t="s">
        <v>520</v>
      </c>
      <c r="C10" s="9" t="s">
        <v>520</v>
      </c>
      <c r="E10">
        <f t="shared" si="0"/>
        <v>0</v>
      </c>
    </row>
    <row r="11" spans="1:7" x14ac:dyDescent="0.3">
      <c r="A11" s="55" t="s">
        <v>510</v>
      </c>
      <c r="C11" t="s">
        <v>510</v>
      </c>
      <c r="E11">
        <f t="shared" si="0"/>
        <v>0</v>
      </c>
    </row>
    <row r="12" spans="1:7" x14ac:dyDescent="0.3">
      <c r="A12" s="55" t="s">
        <v>296</v>
      </c>
      <c r="C12" s="9" t="s">
        <v>296</v>
      </c>
      <c r="E12">
        <f t="shared" si="0"/>
        <v>0</v>
      </c>
    </row>
    <row r="13" spans="1:7" x14ac:dyDescent="0.3">
      <c r="A13" s="55" t="s">
        <v>406</v>
      </c>
      <c r="C13" s="9" t="s">
        <v>406</v>
      </c>
      <c r="E13">
        <f t="shared" si="0"/>
        <v>0</v>
      </c>
    </row>
    <row r="14" spans="1:7" x14ac:dyDescent="0.3">
      <c r="A14" s="55" t="s">
        <v>450</v>
      </c>
      <c r="C14" t="s">
        <v>450</v>
      </c>
      <c r="E14">
        <f t="shared" si="0"/>
        <v>0</v>
      </c>
    </row>
    <row r="15" spans="1:7" x14ac:dyDescent="0.3">
      <c r="A15" s="55" t="s">
        <v>420</v>
      </c>
      <c r="C15" t="s">
        <v>420</v>
      </c>
      <c r="E15">
        <f t="shared" si="0"/>
        <v>0</v>
      </c>
    </row>
    <row r="16" spans="1:7" x14ac:dyDescent="0.3">
      <c r="A16" s="55" t="s">
        <v>494</v>
      </c>
      <c r="C16" t="s">
        <v>494</v>
      </c>
      <c r="E16">
        <f t="shared" si="0"/>
        <v>0</v>
      </c>
    </row>
    <row r="17" spans="1:5" x14ac:dyDescent="0.3">
      <c r="A17" s="55" t="s">
        <v>386</v>
      </c>
      <c r="C17" s="9" t="s">
        <v>386</v>
      </c>
      <c r="E17">
        <f t="shared" si="0"/>
        <v>0</v>
      </c>
    </row>
    <row r="18" spans="1:5" x14ac:dyDescent="0.3">
      <c r="A18" s="55" t="s">
        <v>333</v>
      </c>
      <c r="C18" t="s">
        <v>333</v>
      </c>
      <c r="E18">
        <f t="shared" si="0"/>
        <v>0</v>
      </c>
    </row>
    <row r="19" spans="1:5" x14ac:dyDescent="0.3">
      <c r="A19" s="55" t="s">
        <v>536</v>
      </c>
      <c r="C19" t="s">
        <v>536</v>
      </c>
      <c r="E19">
        <f t="shared" si="0"/>
        <v>0</v>
      </c>
    </row>
    <row r="20" spans="1:5" x14ac:dyDescent="0.3">
      <c r="A20" s="55" t="s">
        <v>544</v>
      </c>
      <c r="C20" s="9" t="s">
        <v>544</v>
      </c>
      <c r="E20">
        <f t="shared" si="0"/>
        <v>0</v>
      </c>
    </row>
    <row r="21" spans="1:5" x14ac:dyDescent="0.3">
      <c r="A21" s="55" t="s">
        <v>480</v>
      </c>
      <c r="C21" s="9" t="s">
        <v>480</v>
      </c>
      <c r="E21">
        <f t="shared" si="0"/>
        <v>0</v>
      </c>
    </row>
    <row r="22" spans="1:5" x14ac:dyDescent="0.3">
      <c r="A22" s="55" t="s">
        <v>394</v>
      </c>
      <c r="C22" s="9" t="s">
        <v>394</v>
      </c>
      <c r="E22">
        <f t="shared" si="0"/>
        <v>0</v>
      </c>
    </row>
    <row r="23" spans="1:5" x14ac:dyDescent="0.3">
      <c r="A23" s="55" t="s">
        <v>408</v>
      </c>
      <c r="C23" t="s">
        <v>408</v>
      </c>
      <c r="E23">
        <f t="shared" si="0"/>
        <v>0</v>
      </c>
    </row>
    <row r="24" spans="1:5" x14ac:dyDescent="0.3">
      <c r="A24" s="55" t="s">
        <v>488</v>
      </c>
      <c r="C24" s="9" t="s">
        <v>488</v>
      </c>
      <c r="E24">
        <f t="shared" si="0"/>
        <v>0</v>
      </c>
    </row>
    <row r="25" spans="1:5" x14ac:dyDescent="0.3">
      <c r="A25" s="55" t="s">
        <v>284</v>
      </c>
      <c r="C25" t="s">
        <v>284</v>
      </c>
      <c r="E25">
        <f t="shared" si="0"/>
        <v>0</v>
      </c>
    </row>
    <row r="26" spans="1:5" x14ac:dyDescent="0.3">
      <c r="A26" s="55" t="s">
        <v>554</v>
      </c>
      <c r="C26" t="s">
        <v>554</v>
      </c>
      <c r="E26">
        <f t="shared" si="0"/>
        <v>0</v>
      </c>
    </row>
    <row r="27" spans="1:5" x14ac:dyDescent="0.3">
      <c r="A27" s="55" t="s">
        <v>369</v>
      </c>
      <c r="C27" s="9" t="s">
        <v>369</v>
      </c>
      <c r="E27">
        <f t="shared" si="0"/>
        <v>0</v>
      </c>
    </row>
    <row r="28" spans="1:5" x14ac:dyDescent="0.3">
      <c r="A28" s="55" t="s">
        <v>262</v>
      </c>
      <c r="C28" s="9" t="s">
        <v>262</v>
      </c>
      <c r="E28">
        <f t="shared" si="0"/>
        <v>0</v>
      </c>
    </row>
    <row r="29" spans="1:5" x14ac:dyDescent="0.3">
      <c r="A29" s="55" t="s">
        <v>500</v>
      </c>
      <c r="C29" s="9" t="s">
        <v>500</v>
      </c>
      <c r="E29">
        <f t="shared" si="0"/>
        <v>0</v>
      </c>
    </row>
    <row r="30" spans="1:5" x14ac:dyDescent="0.3">
      <c r="A30" s="55" t="s">
        <v>454</v>
      </c>
      <c r="C30" t="s">
        <v>454</v>
      </c>
      <c r="E30">
        <f t="shared" si="0"/>
        <v>0</v>
      </c>
    </row>
    <row r="31" spans="1:5" x14ac:dyDescent="0.3">
      <c r="A31" s="55" t="s">
        <v>412</v>
      </c>
      <c r="C31" t="s">
        <v>412</v>
      </c>
      <c r="E31">
        <f t="shared" si="0"/>
        <v>0</v>
      </c>
    </row>
    <row r="32" spans="1:5" x14ac:dyDescent="0.3">
      <c r="A32" s="55" t="s">
        <v>346</v>
      </c>
      <c r="C32" s="9" t="s">
        <v>346</v>
      </c>
      <c r="E32">
        <f t="shared" si="0"/>
        <v>0</v>
      </c>
    </row>
    <row r="33" spans="1:5" x14ac:dyDescent="0.3">
      <c r="A33" s="55" t="s">
        <v>352</v>
      </c>
      <c r="C33" t="s">
        <v>352</v>
      </c>
      <c r="E33">
        <f t="shared" si="0"/>
        <v>0</v>
      </c>
    </row>
    <row r="34" spans="1:5" x14ac:dyDescent="0.3">
      <c r="A34" s="55" t="s">
        <v>446</v>
      </c>
      <c r="C34" t="s">
        <v>446</v>
      </c>
      <c r="E34">
        <f t="shared" si="0"/>
        <v>0</v>
      </c>
    </row>
    <row r="35" spans="1:5" x14ac:dyDescent="0.3">
      <c r="A35" s="55" t="s">
        <v>396</v>
      </c>
      <c r="C35" t="s">
        <v>396</v>
      </c>
      <c r="E35">
        <f t="shared" si="0"/>
        <v>0</v>
      </c>
    </row>
    <row r="36" spans="1:5" x14ac:dyDescent="0.3">
      <c r="A36" s="55" t="s">
        <v>490</v>
      </c>
      <c r="C36" t="s">
        <v>490</v>
      </c>
      <c r="E36">
        <f t="shared" si="0"/>
        <v>0</v>
      </c>
    </row>
    <row r="37" spans="1:5" x14ac:dyDescent="0.3">
      <c r="A37" s="55" t="s">
        <v>272</v>
      </c>
      <c r="C37" s="9" t="s">
        <v>272</v>
      </c>
      <c r="E37">
        <f t="shared" si="0"/>
        <v>0</v>
      </c>
    </row>
    <row r="38" spans="1:5" x14ac:dyDescent="0.3">
      <c r="A38" s="55" t="s">
        <v>276</v>
      </c>
      <c r="C38" t="s">
        <v>276</v>
      </c>
      <c r="E38">
        <f t="shared" si="0"/>
        <v>0</v>
      </c>
    </row>
    <row r="39" spans="1:5" x14ac:dyDescent="0.3">
      <c r="A39" s="55" t="s">
        <v>502</v>
      </c>
      <c r="C39" t="s">
        <v>502</v>
      </c>
      <c r="E39">
        <f t="shared" si="0"/>
        <v>0</v>
      </c>
    </row>
    <row r="40" spans="1:5" x14ac:dyDescent="0.3">
      <c r="A40" s="55" t="s">
        <v>314</v>
      </c>
      <c r="C40" t="s">
        <v>314</v>
      </c>
      <c r="E40">
        <f t="shared" si="0"/>
        <v>0</v>
      </c>
    </row>
    <row r="41" spans="1:5" x14ac:dyDescent="0.3">
      <c r="A41" s="55" t="s">
        <v>437</v>
      </c>
      <c r="C41" t="s">
        <v>437</v>
      </c>
      <c r="E41">
        <f t="shared" si="0"/>
        <v>0</v>
      </c>
    </row>
    <row r="42" spans="1:5" x14ac:dyDescent="0.3">
      <c r="A42" s="55" t="s">
        <v>425</v>
      </c>
      <c r="C42" t="s">
        <v>425</v>
      </c>
      <c r="E42">
        <f t="shared" si="0"/>
        <v>0</v>
      </c>
    </row>
    <row r="43" spans="1:5" x14ac:dyDescent="0.3">
      <c r="A43" s="55" t="s">
        <v>380</v>
      </c>
      <c r="C43" t="s">
        <v>380</v>
      </c>
      <c r="E43">
        <f t="shared" si="0"/>
        <v>0</v>
      </c>
    </row>
    <row r="44" spans="1:5" x14ac:dyDescent="0.3">
      <c r="A44" s="55" t="s">
        <v>542</v>
      </c>
      <c r="C44" s="9" t="s">
        <v>542</v>
      </c>
      <c r="E44">
        <f t="shared" si="0"/>
        <v>0</v>
      </c>
    </row>
    <row r="45" spans="1:5" x14ac:dyDescent="0.3">
      <c r="A45" s="55" t="s">
        <v>306</v>
      </c>
      <c r="C45" t="s">
        <v>306</v>
      </c>
      <c r="E45">
        <f t="shared" si="0"/>
        <v>0</v>
      </c>
    </row>
    <row r="46" spans="1:5" x14ac:dyDescent="0.3">
      <c r="A46" s="55" t="s">
        <v>468</v>
      </c>
      <c r="C46" s="9" t="s">
        <v>468</v>
      </c>
      <c r="E46">
        <f t="shared" si="0"/>
        <v>0</v>
      </c>
    </row>
    <row r="47" spans="1:5" x14ac:dyDescent="0.3">
      <c r="A47" s="55" t="s">
        <v>448</v>
      </c>
      <c r="C47" s="9" t="s">
        <v>448</v>
      </c>
      <c r="E47">
        <f t="shared" si="0"/>
        <v>0</v>
      </c>
    </row>
    <row r="48" spans="1:5" x14ac:dyDescent="0.3">
      <c r="A48" s="55" t="s">
        <v>516</v>
      </c>
      <c r="C48" s="9" t="s">
        <v>516</v>
      </c>
      <c r="E48">
        <f t="shared" si="0"/>
        <v>0</v>
      </c>
    </row>
    <row r="49" spans="1:5" x14ac:dyDescent="0.3">
      <c r="A49" s="55" t="s">
        <v>462</v>
      </c>
      <c r="C49" t="s">
        <v>462</v>
      </c>
      <c r="E49">
        <f t="shared" si="0"/>
        <v>0</v>
      </c>
    </row>
    <row r="50" spans="1:5" x14ac:dyDescent="0.3">
      <c r="A50" s="55" t="s">
        <v>442</v>
      </c>
      <c r="C50" t="s">
        <v>442</v>
      </c>
      <c r="E50">
        <f t="shared" si="0"/>
        <v>0</v>
      </c>
    </row>
    <row r="51" spans="1:5" x14ac:dyDescent="0.3">
      <c r="A51" s="55" t="s">
        <v>444</v>
      </c>
      <c r="C51" s="9" t="s">
        <v>444</v>
      </c>
      <c r="E51">
        <f t="shared" si="0"/>
        <v>0</v>
      </c>
    </row>
    <row r="52" spans="1:5" x14ac:dyDescent="0.3">
      <c r="A52" s="55" t="s">
        <v>364</v>
      </c>
      <c r="C52" s="9" t="s">
        <v>364</v>
      </c>
      <c r="E52">
        <f t="shared" si="0"/>
        <v>0</v>
      </c>
    </row>
    <row r="53" spans="1:5" x14ac:dyDescent="0.3">
      <c r="A53" s="55" t="s">
        <v>392</v>
      </c>
      <c r="C53" t="s">
        <v>392</v>
      </c>
      <c r="E53">
        <f t="shared" si="0"/>
        <v>0</v>
      </c>
    </row>
    <row r="54" spans="1:5" x14ac:dyDescent="0.3">
      <c r="A54" s="55" t="s">
        <v>325</v>
      </c>
      <c r="C54" s="9" t="s">
        <v>325</v>
      </c>
      <c r="E54">
        <f t="shared" si="0"/>
        <v>0</v>
      </c>
    </row>
    <row r="55" spans="1:5" x14ac:dyDescent="0.3">
      <c r="A55" s="55" t="s">
        <v>478</v>
      </c>
      <c r="C55" t="s">
        <v>478</v>
      </c>
      <c r="E55">
        <f t="shared" si="0"/>
        <v>0</v>
      </c>
    </row>
    <row r="56" spans="1:5" x14ac:dyDescent="0.3">
      <c r="A56" s="55" t="s">
        <v>474</v>
      </c>
      <c r="C56" t="s">
        <v>474</v>
      </c>
      <c r="E56">
        <f t="shared" si="0"/>
        <v>0</v>
      </c>
    </row>
    <row r="57" spans="1:5" x14ac:dyDescent="0.3">
      <c r="A57" s="55" t="s">
        <v>532</v>
      </c>
      <c r="C57" s="9" t="s">
        <v>532</v>
      </c>
      <c r="E57">
        <f t="shared" si="0"/>
        <v>0</v>
      </c>
    </row>
    <row r="58" spans="1:5" x14ac:dyDescent="0.3">
      <c r="A58" s="55" t="s">
        <v>429</v>
      </c>
      <c r="C58" t="s">
        <v>429</v>
      </c>
      <c r="E58">
        <f t="shared" si="0"/>
        <v>0</v>
      </c>
    </row>
    <row r="59" spans="1:5" x14ac:dyDescent="0.3">
      <c r="A59" s="55" t="s">
        <v>339</v>
      </c>
      <c r="C59" t="s">
        <v>339</v>
      </c>
      <c r="E59">
        <f t="shared" si="0"/>
        <v>0</v>
      </c>
    </row>
    <row r="60" spans="1:5" x14ac:dyDescent="0.3">
      <c r="A60" s="55" t="s">
        <v>318</v>
      </c>
      <c r="C60" s="9" t="s">
        <v>318</v>
      </c>
      <c r="E60">
        <f t="shared" si="0"/>
        <v>0</v>
      </c>
    </row>
    <row r="61" spans="1:5" x14ac:dyDescent="0.3">
      <c r="A61" s="55" t="s">
        <v>384</v>
      </c>
      <c r="C61" t="s">
        <v>384</v>
      </c>
      <c r="E61">
        <f t="shared" si="0"/>
        <v>0</v>
      </c>
    </row>
    <row r="62" spans="1:5" x14ac:dyDescent="0.3">
      <c r="A62" s="55" t="s">
        <v>464</v>
      </c>
      <c r="C62" s="9" t="s">
        <v>464</v>
      </c>
      <c r="E62">
        <f t="shared" si="0"/>
        <v>0</v>
      </c>
    </row>
    <row r="63" spans="1:5" x14ac:dyDescent="0.3">
      <c r="A63" s="55" t="s">
        <v>439</v>
      </c>
      <c r="C63" s="9" t="s">
        <v>439</v>
      </c>
      <c r="E63">
        <f t="shared" si="0"/>
        <v>0</v>
      </c>
    </row>
    <row r="64" spans="1:5" x14ac:dyDescent="0.3">
      <c r="A64" s="55" t="s">
        <v>522</v>
      </c>
      <c r="C64" t="s">
        <v>522</v>
      </c>
      <c r="E64">
        <f t="shared" si="0"/>
        <v>0</v>
      </c>
    </row>
    <row r="65" spans="1:5" x14ac:dyDescent="0.3">
      <c r="A65" s="55" t="s">
        <v>508</v>
      </c>
      <c r="C65" s="9" t="s">
        <v>508</v>
      </c>
      <c r="E65">
        <f t="shared" si="0"/>
        <v>0</v>
      </c>
    </row>
    <row r="66" spans="1:5" x14ac:dyDescent="0.3">
      <c r="A66" s="55" t="s">
        <v>506</v>
      </c>
      <c r="C66" t="s">
        <v>506</v>
      </c>
      <c r="E66">
        <f t="shared" si="0"/>
        <v>0</v>
      </c>
    </row>
    <row r="67" spans="1:5" x14ac:dyDescent="0.3">
      <c r="A67" s="55" t="s">
        <v>550</v>
      </c>
      <c r="C67" t="s">
        <v>550</v>
      </c>
      <c r="E67">
        <f t="shared" ref="E67:E127" si="1">IF(A67=C67,0,1)</f>
        <v>0</v>
      </c>
    </row>
    <row r="68" spans="1:5" x14ac:dyDescent="0.3">
      <c r="A68" s="55" t="s">
        <v>356</v>
      </c>
      <c r="C68" t="s">
        <v>356</v>
      </c>
      <c r="E68">
        <f t="shared" si="1"/>
        <v>0</v>
      </c>
    </row>
    <row r="69" spans="1:5" x14ac:dyDescent="0.3">
      <c r="A69" s="55" t="s">
        <v>414</v>
      </c>
      <c r="C69" s="9" t="s">
        <v>414</v>
      </c>
      <c r="E69">
        <f t="shared" si="1"/>
        <v>0</v>
      </c>
    </row>
    <row r="70" spans="1:5" x14ac:dyDescent="0.3">
      <c r="A70" s="55" t="s">
        <v>456</v>
      </c>
      <c r="C70" s="9" t="s">
        <v>456</v>
      </c>
      <c r="E70">
        <f t="shared" si="1"/>
        <v>0</v>
      </c>
    </row>
    <row r="71" spans="1:5" x14ac:dyDescent="0.3">
      <c r="A71" s="55" t="s">
        <v>293</v>
      </c>
      <c r="C71" t="s">
        <v>293</v>
      </c>
      <c r="E71">
        <f t="shared" si="1"/>
        <v>0</v>
      </c>
    </row>
    <row r="72" spans="1:5" x14ac:dyDescent="0.3">
      <c r="A72" s="55" t="s">
        <v>486</v>
      </c>
      <c r="C72" t="s">
        <v>486</v>
      </c>
      <c r="E72">
        <f t="shared" si="1"/>
        <v>0</v>
      </c>
    </row>
    <row r="73" spans="1:5" x14ac:dyDescent="0.3">
      <c r="A73" s="55" t="s">
        <v>362</v>
      </c>
      <c r="C73" t="s">
        <v>362</v>
      </c>
      <c r="E73">
        <f t="shared" si="1"/>
        <v>0</v>
      </c>
    </row>
    <row r="74" spans="1:5" x14ac:dyDescent="0.3">
      <c r="A74" s="55" t="s">
        <v>367</v>
      </c>
      <c r="C74" t="s">
        <v>367</v>
      </c>
      <c r="E74">
        <f t="shared" si="1"/>
        <v>0</v>
      </c>
    </row>
    <row r="75" spans="1:5" x14ac:dyDescent="0.3">
      <c r="A75" s="55" t="s">
        <v>327</v>
      </c>
      <c r="C75" t="s">
        <v>327</v>
      </c>
      <c r="E75">
        <f t="shared" si="1"/>
        <v>0</v>
      </c>
    </row>
    <row r="76" spans="1:5" x14ac:dyDescent="0.3">
      <c r="A76" s="55" t="s">
        <v>492</v>
      </c>
      <c r="C76" s="9" t="s">
        <v>492</v>
      </c>
      <c r="E76">
        <f t="shared" si="1"/>
        <v>0</v>
      </c>
    </row>
    <row r="77" spans="1:5" x14ac:dyDescent="0.3">
      <c r="A77" s="55" t="s">
        <v>418</v>
      </c>
      <c r="C77" s="9" t="s">
        <v>418</v>
      </c>
      <c r="E77">
        <f t="shared" si="1"/>
        <v>0</v>
      </c>
    </row>
    <row r="78" spans="1:5" x14ac:dyDescent="0.3">
      <c r="A78" s="55" t="s">
        <v>382</v>
      </c>
      <c r="C78" s="9" t="s">
        <v>382</v>
      </c>
      <c r="E78">
        <f t="shared" si="1"/>
        <v>0</v>
      </c>
    </row>
    <row r="79" spans="1:5" x14ac:dyDescent="0.3">
      <c r="A79" s="55" t="s">
        <v>427</v>
      </c>
      <c r="C79" s="9" t="s">
        <v>427</v>
      </c>
      <c r="E79">
        <f t="shared" si="1"/>
        <v>0</v>
      </c>
    </row>
    <row r="80" spans="1:5" x14ac:dyDescent="0.3">
      <c r="A80" s="55" t="s">
        <v>458</v>
      </c>
      <c r="C80" t="s">
        <v>458</v>
      </c>
      <c r="E80">
        <f t="shared" si="1"/>
        <v>0</v>
      </c>
    </row>
    <row r="81" spans="1:5" x14ac:dyDescent="0.3">
      <c r="A81" s="55" t="s">
        <v>330</v>
      </c>
      <c r="C81" s="9" t="s">
        <v>330</v>
      </c>
      <c r="E81">
        <f t="shared" si="1"/>
        <v>0</v>
      </c>
    </row>
    <row r="82" spans="1:5" x14ac:dyDescent="0.3">
      <c r="A82" s="55" t="s">
        <v>404</v>
      </c>
      <c r="C82" t="s">
        <v>404</v>
      </c>
      <c r="E82">
        <f t="shared" si="1"/>
        <v>0</v>
      </c>
    </row>
    <row r="83" spans="1:5" x14ac:dyDescent="0.3">
      <c r="A83" s="55" t="s">
        <v>504</v>
      </c>
      <c r="C83" s="9" t="s">
        <v>504</v>
      </c>
      <c r="E83">
        <f t="shared" si="1"/>
        <v>0</v>
      </c>
    </row>
    <row r="84" spans="1:5" x14ac:dyDescent="0.3">
      <c r="A84" s="55" t="s">
        <v>310</v>
      </c>
      <c r="C84" s="9" t="s">
        <v>310</v>
      </c>
      <c r="E84">
        <f t="shared" si="1"/>
        <v>0</v>
      </c>
    </row>
    <row r="85" spans="1:5" x14ac:dyDescent="0.3">
      <c r="A85" s="55" t="s">
        <v>498</v>
      </c>
      <c r="C85" t="s">
        <v>498</v>
      </c>
      <c r="E85">
        <f t="shared" si="1"/>
        <v>0</v>
      </c>
    </row>
    <row r="86" spans="1:5" x14ac:dyDescent="0.3">
      <c r="A86" s="55" t="s">
        <v>372</v>
      </c>
      <c r="C86" t="s">
        <v>372</v>
      </c>
      <c r="E86">
        <f t="shared" si="1"/>
        <v>0</v>
      </c>
    </row>
    <row r="87" spans="1:5" x14ac:dyDescent="0.3">
      <c r="A87" s="55" t="s">
        <v>354</v>
      </c>
      <c r="C87" s="9" t="s">
        <v>354</v>
      </c>
      <c r="E87">
        <f t="shared" si="1"/>
        <v>0</v>
      </c>
    </row>
    <row r="88" spans="1:5" x14ac:dyDescent="0.3">
      <c r="A88" s="55" t="s">
        <v>390</v>
      </c>
      <c r="C88" s="9" t="s">
        <v>390</v>
      </c>
      <c r="E88">
        <f t="shared" si="1"/>
        <v>0</v>
      </c>
    </row>
    <row r="89" spans="1:5" x14ac:dyDescent="0.3">
      <c r="A89" s="55" t="s">
        <v>548</v>
      </c>
      <c r="C89" s="9" t="s">
        <v>548</v>
      </c>
      <c r="E89">
        <f t="shared" si="1"/>
        <v>0</v>
      </c>
    </row>
    <row r="90" spans="1:5" x14ac:dyDescent="0.3">
      <c r="A90" s="55" t="s">
        <v>518</v>
      </c>
      <c r="C90" t="s">
        <v>518</v>
      </c>
      <c r="E90">
        <f t="shared" si="1"/>
        <v>0</v>
      </c>
    </row>
    <row r="91" spans="1:5" x14ac:dyDescent="0.3">
      <c r="A91" s="55" t="s">
        <v>514</v>
      </c>
      <c r="C91" t="s">
        <v>514</v>
      </c>
      <c r="E91">
        <f t="shared" si="1"/>
        <v>0</v>
      </c>
    </row>
    <row r="92" spans="1:5" x14ac:dyDescent="0.3">
      <c r="A92" s="55" t="s">
        <v>496</v>
      </c>
      <c r="C92" s="9" t="s">
        <v>496</v>
      </c>
      <c r="E92">
        <f t="shared" si="1"/>
        <v>0</v>
      </c>
    </row>
    <row r="93" spans="1:5" x14ac:dyDescent="0.3">
      <c r="A93" s="55" t="s">
        <v>359</v>
      </c>
      <c r="C93" s="9" t="s">
        <v>359</v>
      </c>
      <c r="E93">
        <f t="shared" si="1"/>
        <v>0</v>
      </c>
    </row>
    <row r="94" spans="1:5" x14ac:dyDescent="0.3">
      <c r="A94" s="55" t="s">
        <v>431</v>
      </c>
      <c r="C94" s="9" t="s">
        <v>431</v>
      </c>
      <c r="E94">
        <f t="shared" si="1"/>
        <v>0</v>
      </c>
    </row>
    <row r="95" spans="1:5" x14ac:dyDescent="0.3">
      <c r="A95" s="55" t="s">
        <v>526</v>
      </c>
      <c r="C95" t="s">
        <v>526</v>
      </c>
      <c r="E95">
        <f t="shared" si="1"/>
        <v>0</v>
      </c>
    </row>
    <row r="96" spans="1:5" x14ac:dyDescent="0.3">
      <c r="A96" s="55" t="s">
        <v>435</v>
      </c>
      <c r="C96" s="9" t="s">
        <v>435</v>
      </c>
      <c r="E96">
        <f t="shared" si="1"/>
        <v>0</v>
      </c>
    </row>
    <row r="97" spans="1:5" x14ac:dyDescent="0.3">
      <c r="A97" s="55" t="s">
        <v>267</v>
      </c>
      <c r="C97" t="s">
        <v>267</v>
      </c>
      <c r="E97">
        <f t="shared" si="1"/>
        <v>0</v>
      </c>
    </row>
    <row r="98" spans="1:5" x14ac:dyDescent="0.3">
      <c r="A98" s="55" t="s">
        <v>484</v>
      </c>
      <c r="C98" s="9" t="s">
        <v>484</v>
      </c>
      <c r="E98">
        <f t="shared" si="1"/>
        <v>0</v>
      </c>
    </row>
    <row r="99" spans="1:5" x14ac:dyDescent="0.3">
      <c r="A99" s="55" t="s">
        <v>470</v>
      </c>
      <c r="C99" t="s">
        <v>470</v>
      </c>
      <c r="E99">
        <f t="shared" si="1"/>
        <v>0</v>
      </c>
    </row>
    <row r="100" spans="1:5" x14ac:dyDescent="0.3">
      <c r="A100" s="55" t="s">
        <v>530</v>
      </c>
      <c r="C100" t="s">
        <v>530</v>
      </c>
      <c r="E100">
        <f t="shared" si="1"/>
        <v>0</v>
      </c>
    </row>
    <row r="101" spans="1:5" x14ac:dyDescent="0.3">
      <c r="A101" s="55" t="s">
        <v>416</v>
      </c>
      <c r="C101" t="s">
        <v>416</v>
      </c>
      <c r="E101">
        <f t="shared" si="1"/>
        <v>0</v>
      </c>
    </row>
    <row r="102" spans="1:5" x14ac:dyDescent="0.3">
      <c r="A102" s="55" t="s">
        <v>350</v>
      </c>
      <c r="C102" s="9" t="s">
        <v>350</v>
      </c>
      <c r="E102">
        <f t="shared" si="1"/>
        <v>0</v>
      </c>
    </row>
    <row r="103" spans="1:5" x14ac:dyDescent="0.3">
      <c r="A103" s="55" t="s">
        <v>341</v>
      </c>
      <c r="C103" s="9" t="s">
        <v>341</v>
      </c>
      <c r="E103">
        <f t="shared" si="1"/>
        <v>0</v>
      </c>
    </row>
    <row r="104" spans="1:5" x14ac:dyDescent="0.3">
      <c r="A104" s="55" t="s">
        <v>423</v>
      </c>
      <c r="C104" s="9" t="s">
        <v>423</v>
      </c>
      <c r="E104">
        <f t="shared" si="1"/>
        <v>0</v>
      </c>
    </row>
    <row r="105" spans="1:5" x14ac:dyDescent="0.3">
      <c r="A105" s="55" t="s">
        <v>476</v>
      </c>
      <c r="C105" s="9" t="s">
        <v>476</v>
      </c>
      <c r="E105">
        <f t="shared" si="1"/>
        <v>0</v>
      </c>
    </row>
    <row r="106" spans="1:5" x14ac:dyDescent="0.3">
      <c r="A106" s="55" t="s">
        <v>374</v>
      </c>
      <c r="C106" s="9" t="s">
        <v>374</v>
      </c>
      <c r="E106">
        <f t="shared" si="1"/>
        <v>0</v>
      </c>
    </row>
    <row r="107" spans="1:5" x14ac:dyDescent="0.3">
      <c r="A107" s="55" t="s">
        <v>512</v>
      </c>
      <c r="C107" s="9" t="s">
        <v>512</v>
      </c>
      <c r="E107">
        <f t="shared" si="1"/>
        <v>0</v>
      </c>
    </row>
    <row r="108" spans="1:5" x14ac:dyDescent="0.3">
      <c r="A108" s="55" t="s">
        <v>528</v>
      </c>
      <c r="C108" s="9" t="s">
        <v>528</v>
      </c>
      <c r="E108">
        <f t="shared" si="1"/>
        <v>0</v>
      </c>
    </row>
    <row r="109" spans="1:5" x14ac:dyDescent="0.3">
      <c r="A109" s="55" t="s">
        <v>400</v>
      </c>
      <c r="C109" t="s">
        <v>400</v>
      </c>
      <c r="E109">
        <f t="shared" si="1"/>
        <v>0</v>
      </c>
    </row>
    <row r="110" spans="1:5" x14ac:dyDescent="0.3">
      <c r="A110" s="55" t="s">
        <v>540</v>
      </c>
      <c r="C110" t="s">
        <v>540</v>
      </c>
      <c r="E110">
        <f t="shared" si="1"/>
        <v>0</v>
      </c>
    </row>
    <row r="111" spans="1:5" x14ac:dyDescent="0.3">
      <c r="A111" s="55" t="s">
        <v>337</v>
      </c>
      <c r="C111" s="9" t="s">
        <v>337</v>
      </c>
      <c r="E111">
        <f t="shared" si="1"/>
        <v>0</v>
      </c>
    </row>
    <row r="112" spans="1:5" x14ac:dyDescent="0.3">
      <c r="A112" s="55" t="s">
        <v>482</v>
      </c>
      <c r="C112" t="s">
        <v>482</v>
      </c>
      <c r="E112">
        <f t="shared" si="1"/>
        <v>0</v>
      </c>
    </row>
    <row r="113" spans="1:5" x14ac:dyDescent="0.3">
      <c r="A113" s="55" t="s">
        <v>546</v>
      </c>
      <c r="C113" t="s">
        <v>546</v>
      </c>
      <c r="E113">
        <f t="shared" si="1"/>
        <v>0</v>
      </c>
    </row>
    <row r="114" spans="1:5" x14ac:dyDescent="0.3">
      <c r="A114" s="55" t="s">
        <v>538</v>
      </c>
      <c r="C114" s="9" t="s">
        <v>538</v>
      </c>
      <c r="E114">
        <f t="shared" si="1"/>
        <v>0</v>
      </c>
    </row>
    <row r="115" spans="1:5" x14ac:dyDescent="0.3">
      <c r="A115" s="55" t="s">
        <v>303</v>
      </c>
      <c r="C115" s="9" t="s">
        <v>303</v>
      </c>
      <c r="E115">
        <f t="shared" si="1"/>
        <v>0</v>
      </c>
    </row>
    <row r="116" spans="1:5" x14ac:dyDescent="0.3">
      <c r="A116" s="55" t="s">
        <v>433</v>
      </c>
      <c r="C116" t="s">
        <v>433</v>
      </c>
      <c r="E116">
        <f t="shared" si="1"/>
        <v>0</v>
      </c>
    </row>
    <row r="117" spans="1:5" x14ac:dyDescent="0.3">
      <c r="A117" s="55" t="s">
        <v>348</v>
      </c>
      <c r="C117" t="s">
        <v>348</v>
      </c>
      <c r="E117">
        <f t="shared" si="1"/>
        <v>0</v>
      </c>
    </row>
    <row r="118" spans="1:5" x14ac:dyDescent="0.3">
      <c r="A118" s="55" t="s">
        <v>410</v>
      </c>
      <c r="C118" s="9" t="s">
        <v>410</v>
      </c>
      <c r="E118">
        <f t="shared" si="1"/>
        <v>0</v>
      </c>
    </row>
    <row r="119" spans="1:5" x14ac:dyDescent="0.3">
      <c r="A119" s="55" t="s">
        <v>460</v>
      </c>
      <c r="C119" s="9" t="s">
        <v>460</v>
      </c>
      <c r="E119">
        <f t="shared" si="1"/>
        <v>0</v>
      </c>
    </row>
    <row r="120" spans="1:5" x14ac:dyDescent="0.3">
      <c r="A120" s="55" t="s">
        <v>288</v>
      </c>
      <c r="C120" s="9" t="s">
        <v>288</v>
      </c>
      <c r="E120">
        <f t="shared" si="1"/>
        <v>0</v>
      </c>
    </row>
    <row r="121" spans="1:5" x14ac:dyDescent="0.3">
      <c r="A121" s="55" t="s">
        <v>388</v>
      </c>
      <c r="C121" t="s">
        <v>388</v>
      </c>
      <c r="E121">
        <f t="shared" si="1"/>
        <v>0</v>
      </c>
    </row>
    <row r="122" spans="1:5" x14ac:dyDescent="0.3">
      <c r="A122" s="55" t="s">
        <v>322</v>
      </c>
      <c r="C122" t="s">
        <v>322</v>
      </c>
      <c r="E122">
        <f t="shared" si="1"/>
        <v>0</v>
      </c>
    </row>
    <row r="123" spans="1:5" x14ac:dyDescent="0.3">
      <c r="A123" s="55" t="s">
        <v>299</v>
      </c>
      <c r="C123" t="s">
        <v>299</v>
      </c>
      <c r="E123">
        <f t="shared" si="1"/>
        <v>0</v>
      </c>
    </row>
    <row r="124" spans="1:5" x14ac:dyDescent="0.3">
      <c r="A124" s="55" t="s">
        <v>343</v>
      </c>
      <c r="C124" t="s">
        <v>343</v>
      </c>
      <c r="E124">
        <f t="shared" si="1"/>
        <v>0</v>
      </c>
    </row>
    <row r="125" spans="1:5" x14ac:dyDescent="0.3">
      <c r="A125" s="55" t="s">
        <v>466</v>
      </c>
      <c r="C125" t="s">
        <v>466</v>
      </c>
      <c r="E125">
        <f t="shared" si="1"/>
        <v>0</v>
      </c>
    </row>
    <row r="126" spans="1:5" x14ac:dyDescent="0.3">
      <c r="A126" s="55" t="s">
        <v>376</v>
      </c>
      <c r="C126" t="s">
        <v>376</v>
      </c>
      <c r="E126">
        <f t="shared" si="1"/>
        <v>0</v>
      </c>
    </row>
    <row r="127" spans="1:5" x14ac:dyDescent="0.3">
      <c r="A127" s="55" t="s">
        <v>534</v>
      </c>
      <c r="C127" s="57" t="s">
        <v>534</v>
      </c>
      <c r="E127">
        <f t="shared" si="1"/>
        <v>0</v>
      </c>
    </row>
    <row r="128" spans="1:5" x14ac:dyDescent="0.3">
      <c r="A128" s="56"/>
    </row>
    <row r="129" spans="1:1" x14ac:dyDescent="0.3">
      <c r="A129" s="56"/>
    </row>
    <row r="130" spans="1:1" x14ac:dyDescent="0.3">
      <c r="A130" s="56"/>
    </row>
  </sheetData>
  <sortState xmlns:xlrd2="http://schemas.microsoft.com/office/spreadsheetml/2017/richdata2" ref="A2:A131">
    <sortCondition ref="A2:A131"/>
  </sortState>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79998168889431442"/>
  </sheetPr>
  <dimension ref="A1:S127"/>
  <sheetViews>
    <sheetView workbookViewId="0">
      <pane xSplit="4" ySplit="1" topLeftCell="P2" activePane="bottomRight" state="frozen"/>
      <selection pane="topRight" activeCell="E17" sqref="E17"/>
      <selection pane="bottomLeft" activeCell="E17" sqref="E17"/>
      <selection pane="bottomRight" activeCell="P1" sqref="P1"/>
    </sheetView>
  </sheetViews>
  <sheetFormatPr defaultRowHeight="14.4" x14ac:dyDescent="0.3"/>
  <cols>
    <col min="1" max="1" width="61" bestFit="1" customWidth="1"/>
    <col min="2" max="2" width="12.5546875" customWidth="1"/>
    <col min="3" max="3" width="41.44140625" bestFit="1" customWidth="1"/>
    <col min="4" max="4" width="15.33203125" customWidth="1"/>
    <col min="5" max="6" width="7.6640625" style="119" bestFit="1" customWidth="1"/>
    <col min="7" max="7" width="9.88671875" style="4" bestFit="1" customWidth="1"/>
    <col min="8" max="8" width="7.33203125" style="4" customWidth="1"/>
    <col min="9" max="9" width="10.44140625" style="4" bestFit="1" customWidth="1"/>
    <col min="10" max="10" width="11.44140625" style="4" bestFit="1" customWidth="1"/>
    <col min="11" max="11" width="9.44140625" style="4" bestFit="1" customWidth="1"/>
    <col min="12" max="12" width="9.6640625" style="4" bestFit="1" customWidth="1"/>
    <col min="13" max="13" width="8.33203125" style="4" bestFit="1" customWidth="1"/>
    <col min="14" max="14" width="12.33203125" style="4" bestFit="1" customWidth="1"/>
    <col min="15" max="15" width="8.33203125" style="4" bestFit="1" customWidth="1"/>
    <col min="16" max="16" width="8.33203125" style="4" customWidth="1"/>
    <col min="17" max="17" width="12.6640625" customWidth="1"/>
    <col min="18" max="19" width="30.5546875" style="4" customWidth="1"/>
  </cols>
  <sheetData>
    <row r="1" spans="1:19" x14ac:dyDescent="0.3">
      <c r="A1" s="10" t="s">
        <v>258</v>
      </c>
      <c r="B1" s="10" t="s">
        <v>259</v>
      </c>
      <c r="C1" s="10" t="s">
        <v>260</v>
      </c>
      <c r="D1" s="10" t="s">
        <v>261</v>
      </c>
      <c r="E1" s="177" t="s">
        <v>174</v>
      </c>
      <c r="F1" s="177" t="s">
        <v>594</v>
      </c>
      <c r="G1" s="139" t="s">
        <v>182</v>
      </c>
      <c r="H1" s="139" t="s">
        <v>179</v>
      </c>
      <c r="I1" s="139" t="s">
        <v>178</v>
      </c>
      <c r="J1" s="139" t="s">
        <v>595</v>
      </c>
      <c r="K1" s="139" t="s">
        <v>180</v>
      </c>
      <c r="L1" s="139" t="s">
        <v>173</v>
      </c>
      <c r="M1" s="139" t="s">
        <v>177</v>
      </c>
      <c r="N1" s="139" t="s">
        <v>176</v>
      </c>
      <c r="O1" s="139" t="s">
        <v>175</v>
      </c>
      <c r="P1" s="139" t="s">
        <v>181</v>
      </c>
      <c r="Q1" t="s">
        <v>596</v>
      </c>
      <c r="R1" s="19" t="s">
        <v>597</v>
      </c>
      <c r="S1" s="19" t="s">
        <v>598</v>
      </c>
    </row>
    <row r="2" spans="1:19" x14ac:dyDescent="0.3">
      <c r="A2" s="90" t="s">
        <v>29</v>
      </c>
      <c r="B2" s="90" t="s">
        <v>262</v>
      </c>
      <c r="C2" s="90" t="s">
        <v>263</v>
      </c>
      <c r="D2" s="90" t="s">
        <v>264</v>
      </c>
      <c r="E2" s="178">
        <v>129</v>
      </c>
      <c r="F2" s="178">
        <v>79</v>
      </c>
      <c r="G2" s="121">
        <v>0.961240310668945</v>
      </c>
      <c r="H2" s="121">
        <v>0.96124031066894533</v>
      </c>
      <c r="I2" s="121">
        <v>0.96899223327636719</v>
      </c>
      <c r="J2" s="121">
        <v>1</v>
      </c>
      <c r="K2" s="121">
        <v>0.93798446655273438</v>
      </c>
      <c r="L2" s="121">
        <v>0.96899223327636719</v>
      </c>
      <c r="M2" s="121">
        <v>1</v>
      </c>
      <c r="N2" s="121">
        <v>0.97674415588378904</v>
      </c>
      <c r="O2" s="121">
        <v>0.84496124267578121</v>
      </c>
      <c r="P2" s="121">
        <v>0.74418601989746092</v>
      </c>
      <c r="R2" s="144" t="e" cm="1">
        <f t="array" aca="1" ref="R2" ca="1">INDEX(INDIRECT(trust_dq_table),(ROW()-ROW(INDIRECT(trust_dq_cols))),MATCH(selected_dq_name_xc,INDIRECT(trust_dq_cols),0))</f>
        <v>#N/A</v>
      </c>
      <c r="S2" s="144" t="e">
        <f ca="1">RANK(R2,R:R,0)+COUNTIF($R$2:R2,R2)-1</f>
        <v>#N/A</v>
      </c>
    </row>
    <row r="3" spans="1:19" x14ac:dyDescent="0.3">
      <c r="A3" s="3" t="s">
        <v>266</v>
      </c>
      <c r="B3" s="3" t="s">
        <v>267</v>
      </c>
      <c r="C3" s="3" t="s">
        <v>268</v>
      </c>
      <c r="D3" s="3" t="s">
        <v>269</v>
      </c>
      <c r="E3" s="178">
        <v>167</v>
      </c>
      <c r="F3" s="178">
        <v>81</v>
      </c>
      <c r="G3" s="121">
        <v>0.64670661926269535</v>
      </c>
      <c r="H3" s="121">
        <v>0.80838325500488284</v>
      </c>
      <c r="I3" s="121">
        <v>0.52095809936523441</v>
      </c>
      <c r="J3" s="121">
        <v>1</v>
      </c>
      <c r="K3" s="121">
        <v>0.94011978149414066</v>
      </c>
      <c r="L3" s="121">
        <v>0.92814369201660152</v>
      </c>
      <c r="M3" s="121">
        <v>1</v>
      </c>
      <c r="N3" s="121">
        <v>0.94011978149414066</v>
      </c>
      <c r="O3" s="121">
        <v>0.47904190063476565</v>
      </c>
      <c r="P3" s="121">
        <v>3.5928144454956054E-2</v>
      </c>
      <c r="R3" s="4" t="e" cm="1">
        <f t="array" aca="1" ref="R3" ca="1">INDEX(INDIRECT(trust_dq_table),(ROW()-ROW(INDIRECT(trust_dq_cols))),MATCH(selected_dq_name_xc,INDIRECT(trust_dq_cols),0))</f>
        <v>#N/A</v>
      </c>
      <c r="S3" s="4" t="e">
        <f ca="1">RANK(R3,R:R,0)+COUNTIF($R$2:R3,R3)-1</f>
        <v>#N/A</v>
      </c>
    </row>
    <row r="4" spans="1:19" x14ac:dyDescent="0.3">
      <c r="A4" s="98" t="s">
        <v>271</v>
      </c>
      <c r="B4" s="98" t="s">
        <v>272</v>
      </c>
      <c r="C4" s="98" t="s">
        <v>273</v>
      </c>
      <c r="D4" s="98" t="s">
        <v>274</v>
      </c>
      <c r="E4" s="178">
        <v>260</v>
      </c>
      <c r="F4" s="178">
        <v>180</v>
      </c>
      <c r="G4" s="121">
        <v>0.9</v>
      </c>
      <c r="H4" s="121">
        <v>0.78461540222167969</v>
      </c>
      <c r="I4" s="121">
        <v>0.70384613037109378</v>
      </c>
      <c r="J4" s="121">
        <v>0.98888885498046875</v>
      </c>
      <c r="K4" s="121">
        <v>0.99615386962890629</v>
      </c>
      <c r="L4" s="121">
        <v>0.96153846740722659</v>
      </c>
      <c r="M4" s="121">
        <v>1</v>
      </c>
      <c r="N4" s="121">
        <v>0.98846153259277347</v>
      </c>
      <c r="O4" s="121">
        <v>0.41153846740722655</v>
      </c>
      <c r="P4" s="121">
        <v>0.63846153259277338</v>
      </c>
      <c r="R4" s="146" t="e" cm="1">
        <f t="array" aca="1" ref="R4" ca="1">INDEX(INDIRECT(trust_dq_table),(ROW()-ROW(INDIRECT(trust_dq_cols))),MATCH(selected_dq_name_xc,INDIRECT(trust_dq_cols),0))</f>
        <v>#N/A</v>
      </c>
      <c r="S4" s="146" t="e">
        <f ca="1">RANK(R4,R:R,0)+COUNTIF($R$2:R4,R4)-1</f>
        <v>#N/A</v>
      </c>
    </row>
    <row r="5" spans="1:19" x14ac:dyDescent="0.3">
      <c r="A5" s="3" t="s">
        <v>15</v>
      </c>
      <c r="B5" s="3" t="s">
        <v>276</v>
      </c>
      <c r="C5" s="3" t="s">
        <v>277</v>
      </c>
      <c r="D5" s="3" t="s">
        <v>278</v>
      </c>
      <c r="E5" s="178">
        <v>208</v>
      </c>
      <c r="F5" s="178">
        <v>135</v>
      </c>
      <c r="G5" s="121">
        <v>0.96634613037109374</v>
      </c>
      <c r="H5" s="121">
        <v>0.96153846740722659</v>
      </c>
      <c r="I5" s="121">
        <v>0.65384613037109374</v>
      </c>
      <c r="J5" s="121">
        <v>1</v>
      </c>
      <c r="K5" s="121">
        <v>0.9375</v>
      </c>
      <c r="L5" s="121">
        <v>0.96153846740722659</v>
      </c>
      <c r="M5" s="121">
        <v>1</v>
      </c>
      <c r="N5" s="121">
        <v>0.98076919555664066</v>
      </c>
      <c r="O5" s="121">
        <v>0.66826919555664066</v>
      </c>
      <c r="P5" s="121">
        <v>9.1346149444580083E-2</v>
      </c>
      <c r="R5" s="4" t="e" cm="1">
        <f t="array" aca="1" ref="R5" ca="1">INDEX(INDIRECT(trust_dq_table),(ROW()-ROW(INDIRECT(trust_dq_cols))),MATCH(selected_dq_name_xc,INDIRECT(trust_dq_cols),0))</f>
        <v>#N/A</v>
      </c>
      <c r="S5" s="4" t="e">
        <f ca="1">RANK(R5,R:R,0)+COUNTIF($R$2:R5,R5)-1</f>
        <v>#N/A</v>
      </c>
    </row>
    <row r="6" spans="1:19" x14ac:dyDescent="0.3">
      <c r="A6" s="98" t="s">
        <v>280</v>
      </c>
      <c r="B6" s="98" t="s">
        <v>281</v>
      </c>
      <c r="C6" s="98" t="s">
        <v>273</v>
      </c>
      <c r="D6" s="98" t="s">
        <v>274</v>
      </c>
      <c r="E6" s="178">
        <v>432</v>
      </c>
      <c r="F6" s="178">
        <v>227</v>
      </c>
      <c r="G6" s="121">
        <v>0.91898147583007816</v>
      </c>
      <c r="H6" s="121">
        <v>0.36574073791503908</v>
      </c>
      <c r="I6" s="121">
        <v>0.7800926208496094</v>
      </c>
      <c r="J6" s="121">
        <v>0.9691629791259766</v>
      </c>
      <c r="K6" s="121">
        <v>0.95370368957519536</v>
      </c>
      <c r="L6" s="121">
        <v>0.79629631042480464</v>
      </c>
      <c r="M6" s="121">
        <v>1</v>
      </c>
      <c r="N6" s="121">
        <v>0.98842590332031255</v>
      </c>
      <c r="O6" s="121">
        <v>0.57870368957519536</v>
      </c>
      <c r="P6" s="121">
        <v>0.34259258270263671</v>
      </c>
      <c r="R6" s="146" t="e" cm="1">
        <f t="array" aca="1" ref="R6" ca="1">INDEX(INDIRECT(trust_dq_table),(ROW()-ROW(INDIRECT(trust_dq_cols))),MATCH(selected_dq_name_xc,INDIRECT(trust_dq_cols),0))</f>
        <v>#N/A</v>
      </c>
      <c r="S6" s="146" t="e">
        <f ca="1">RANK(R6,R:R,0)+COUNTIF($R$2:R6,R6)-1</f>
        <v>#N/A</v>
      </c>
    </row>
    <row r="7" spans="1:19" x14ac:dyDescent="0.3">
      <c r="A7" s="3" t="s">
        <v>283</v>
      </c>
      <c r="B7" s="3" t="s">
        <v>284</v>
      </c>
      <c r="C7" s="3" t="s">
        <v>279</v>
      </c>
      <c r="D7" s="3" t="s">
        <v>285</v>
      </c>
      <c r="E7" s="178">
        <v>264</v>
      </c>
      <c r="F7" s="178">
        <v>131</v>
      </c>
      <c r="G7" s="121">
        <v>0.88257575988769532</v>
      </c>
      <c r="H7" s="121">
        <v>0.79166664123535158</v>
      </c>
      <c r="I7" s="121">
        <v>0.63257575988769532</v>
      </c>
      <c r="J7" s="121">
        <v>0.96183204650878906</v>
      </c>
      <c r="K7" s="121">
        <v>0.96212120056152339</v>
      </c>
      <c r="L7" s="121">
        <v>0.90530303955078129</v>
      </c>
      <c r="M7" s="121">
        <v>1</v>
      </c>
      <c r="N7" s="121">
        <v>0.97727272033691404</v>
      </c>
      <c r="O7" s="121">
        <v>0.64772727966308596</v>
      </c>
      <c r="P7" s="121">
        <v>0.63257575988769532</v>
      </c>
      <c r="R7" s="4" t="e" cm="1">
        <f t="array" aca="1" ref="R7" ca="1">INDEX(INDIRECT(trust_dq_table),(ROW()-ROW(INDIRECT(trust_dq_cols))),MATCH(selected_dq_name_xc,INDIRECT(trust_dq_cols),0))</f>
        <v>#N/A</v>
      </c>
      <c r="S7" s="4" t="e">
        <f ca="1">RANK(R7,R:R,0)+COUNTIF($R$2:R7,R7)-1</f>
        <v>#N/A</v>
      </c>
    </row>
    <row r="8" spans="1:19" x14ac:dyDescent="0.3">
      <c r="A8" s="98" t="s">
        <v>287</v>
      </c>
      <c r="B8" s="98" t="s">
        <v>288</v>
      </c>
      <c r="C8" s="98" t="s">
        <v>289</v>
      </c>
      <c r="D8" s="98" t="s">
        <v>290</v>
      </c>
      <c r="E8" s="178">
        <v>348</v>
      </c>
      <c r="F8" s="178">
        <v>243</v>
      </c>
      <c r="G8" s="121">
        <v>0.77873565673828127</v>
      </c>
      <c r="H8" s="121">
        <v>0.7701149749755859</v>
      </c>
      <c r="I8" s="121">
        <v>0.68390808105468748</v>
      </c>
      <c r="J8" s="121">
        <v>0.97530860900878902</v>
      </c>
      <c r="K8" s="121">
        <v>0.98850578308105463</v>
      </c>
      <c r="L8" s="121">
        <v>0.93390808105468748</v>
      </c>
      <c r="M8" s="121">
        <v>1</v>
      </c>
      <c r="N8" s="121">
        <v>0.97126434326171873</v>
      </c>
      <c r="O8" s="121">
        <v>0.47701148986816405</v>
      </c>
      <c r="P8" s="121">
        <v>0.13218390464782714</v>
      </c>
      <c r="R8" s="146" t="e" cm="1">
        <f t="array" aca="1" ref="R8" ca="1">INDEX(INDIRECT(trust_dq_table),(ROW()-ROW(INDIRECT(trust_dq_cols))),MATCH(selected_dq_name_xc,INDIRECT(trust_dq_cols),0))</f>
        <v>#N/A</v>
      </c>
      <c r="S8" s="146" t="e">
        <f ca="1">RANK(R8,R:R,0)+COUNTIF($R$2:R8,R8)-1</f>
        <v>#N/A</v>
      </c>
    </row>
    <row r="9" spans="1:19" x14ac:dyDescent="0.3">
      <c r="A9" s="3" t="s">
        <v>292</v>
      </c>
      <c r="B9" s="3" t="s">
        <v>293</v>
      </c>
      <c r="C9" s="3" t="s">
        <v>282</v>
      </c>
      <c r="D9" s="3" t="s">
        <v>294</v>
      </c>
      <c r="E9" s="178">
        <v>224</v>
      </c>
      <c r="F9" s="178">
        <v>127</v>
      </c>
      <c r="G9" s="121">
        <v>0.76339286804199213</v>
      </c>
      <c r="H9" s="121">
        <v>0.87053573608398438</v>
      </c>
      <c r="I9" s="121">
        <v>0.59821430206298831</v>
      </c>
      <c r="J9" s="121">
        <v>0.9842519378662109</v>
      </c>
      <c r="K9" s="121">
        <v>0.99553573608398438</v>
      </c>
      <c r="L9" s="121">
        <v>0.93303573608398438</v>
      </c>
      <c r="M9" s="121">
        <v>1</v>
      </c>
      <c r="N9" s="121">
        <v>0.96428573608398438</v>
      </c>
      <c r="O9" s="121">
        <v>0.67857139587402349</v>
      </c>
      <c r="P9" s="121">
        <v>0.32589286804199219</v>
      </c>
      <c r="R9" s="4" t="e" cm="1">
        <f t="array" aca="1" ref="R9" ca="1">INDEX(INDIRECT(trust_dq_table),(ROW()-ROW(INDIRECT(trust_dq_cols))),MATCH(selected_dq_name_xc,INDIRECT(trust_dq_cols),0))</f>
        <v>#N/A</v>
      </c>
      <c r="S9" s="4" t="e">
        <f ca="1">RANK(R9,R:R,0)+COUNTIF($R$2:R9,R9)-1</f>
        <v>#N/A</v>
      </c>
    </row>
    <row r="10" spans="1:19" x14ac:dyDescent="0.3">
      <c r="A10" s="98" t="s">
        <v>295</v>
      </c>
      <c r="B10" s="98" t="s">
        <v>296</v>
      </c>
      <c r="C10" s="98" t="s">
        <v>263</v>
      </c>
      <c r="D10" s="98" t="s">
        <v>264</v>
      </c>
      <c r="E10" s="178">
        <v>245</v>
      </c>
      <c r="F10" s="178">
        <v>172</v>
      </c>
      <c r="G10" s="121">
        <v>0.95102043151855464</v>
      </c>
      <c r="H10" s="121">
        <v>0.87346939086914066</v>
      </c>
      <c r="I10" s="121">
        <v>0.98367347717285158</v>
      </c>
      <c r="J10" s="121">
        <v>1</v>
      </c>
      <c r="K10" s="121">
        <v>0.9428571319580078</v>
      </c>
      <c r="L10" s="121">
        <v>0.97959182739257811</v>
      </c>
      <c r="M10" s="121">
        <v>1</v>
      </c>
      <c r="N10" s="121">
        <v>0.99183670043945316</v>
      </c>
      <c r="O10" s="121">
        <v>0.80408164978027341</v>
      </c>
      <c r="P10" s="121">
        <v>0.53061225891113284</v>
      </c>
      <c r="R10" s="146" t="e" cm="1">
        <f t="array" aca="1" ref="R10" ca="1">INDEX(INDIRECT(trust_dq_table),(ROW()-ROW(INDIRECT(trust_dq_cols))),MATCH(selected_dq_name_xc,INDIRECT(trust_dq_cols),0))</f>
        <v>#N/A</v>
      </c>
      <c r="S10" s="146" t="e">
        <f ca="1">RANK(R10,R:R,0)+COUNTIF($R$2:R10,R10)-1</f>
        <v>#N/A</v>
      </c>
    </row>
    <row r="11" spans="1:19" x14ac:dyDescent="0.3">
      <c r="A11" s="3" t="s">
        <v>298</v>
      </c>
      <c r="B11" s="3" t="s">
        <v>299</v>
      </c>
      <c r="C11" s="3" t="s">
        <v>300</v>
      </c>
      <c r="D11" s="3" t="s">
        <v>301</v>
      </c>
      <c r="E11" s="178">
        <v>194</v>
      </c>
      <c r="F11" s="178">
        <v>155</v>
      </c>
      <c r="G11" s="121">
        <v>0.84536079406738285</v>
      </c>
      <c r="H11" s="121">
        <v>0.74742271423339846</v>
      </c>
      <c r="I11" s="121">
        <v>0.94845359802246099</v>
      </c>
      <c r="J11" s="121">
        <v>1</v>
      </c>
      <c r="K11" s="121">
        <v>0.99484535217285153</v>
      </c>
      <c r="L11" s="121">
        <v>0.94329895019531251</v>
      </c>
      <c r="M11" s="121">
        <v>1</v>
      </c>
      <c r="N11" s="121">
        <v>0.98453605651855469</v>
      </c>
      <c r="O11" s="121">
        <v>0.7010309600830078</v>
      </c>
      <c r="P11" s="121">
        <v>0.64948455810546879</v>
      </c>
      <c r="R11" s="4" t="e" cm="1">
        <f t="array" aca="1" ref="R11" ca="1">INDEX(INDIRECT(trust_dq_table),(ROW()-ROW(INDIRECT(trust_dq_cols))),MATCH(selected_dq_name_xc,INDIRECT(trust_dq_cols),0))</f>
        <v>#N/A</v>
      </c>
      <c r="S11" s="4" t="e">
        <f ca="1">RANK(R11,R:R,0)+COUNTIF($R$2:R11,R11)-1</f>
        <v>#N/A</v>
      </c>
    </row>
    <row r="12" spans="1:19" x14ac:dyDescent="0.3">
      <c r="A12" s="98" t="s">
        <v>302</v>
      </c>
      <c r="B12" s="98" t="s">
        <v>303</v>
      </c>
      <c r="C12" s="98" t="s">
        <v>263</v>
      </c>
      <c r="D12" s="98" t="s">
        <v>264</v>
      </c>
      <c r="E12" s="178">
        <v>302</v>
      </c>
      <c r="F12" s="178">
        <v>198</v>
      </c>
      <c r="G12" s="121">
        <v>0.94701988220214839</v>
      </c>
      <c r="H12" s="121">
        <v>0.93708610534667969</v>
      </c>
      <c r="I12" s="121">
        <v>0.97350990295410156</v>
      </c>
      <c r="J12" s="121">
        <v>1</v>
      </c>
      <c r="K12" s="121">
        <v>0.98344367980957026</v>
      </c>
      <c r="L12" s="121">
        <v>0.97350990295410156</v>
      </c>
      <c r="M12" s="121">
        <v>1</v>
      </c>
      <c r="N12" s="121">
        <v>0.99668876647949223</v>
      </c>
      <c r="O12" s="121">
        <v>0.72185432434082031</v>
      </c>
      <c r="P12" s="121">
        <v>0.72847679138183596</v>
      </c>
      <c r="R12" s="146" t="e" cm="1">
        <f t="array" aca="1" ref="R12" ca="1">INDEX(INDIRECT(trust_dq_table),(ROW()-ROW(INDIRECT(trust_dq_cols))),MATCH(selected_dq_name_xc,INDIRECT(trust_dq_cols),0))</f>
        <v>#N/A</v>
      </c>
      <c r="S12" s="146" t="e">
        <f ca="1">RANK(R12,R:R,0)+COUNTIF($R$2:R12,R12)-1</f>
        <v>#N/A</v>
      </c>
    </row>
    <row r="13" spans="1:19" x14ac:dyDescent="0.3">
      <c r="A13" s="3" t="s">
        <v>305</v>
      </c>
      <c r="B13" s="3" t="s">
        <v>306</v>
      </c>
      <c r="C13" s="3" t="s">
        <v>275</v>
      </c>
      <c r="D13" s="3" t="s">
        <v>307</v>
      </c>
      <c r="E13" s="178">
        <v>135</v>
      </c>
      <c r="F13" s="178">
        <v>79</v>
      </c>
      <c r="G13" s="121">
        <v>0.7185185241699219</v>
      </c>
      <c r="H13" s="121">
        <v>0.8</v>
      </c>
      <c r="I13" s="121">
        <v>0.48888889312744138</v>
      </c>
      <c r="J13" s="121">
        <v>0.82278480529785158</v>
      </c>
      <c r="K13" s="121">
        <v>0.99259262084960942</v>
      </c>
      <c r="L13" s="121">
        <v>0.72592590332031248</v>
      </c>
      <c r="M13" s="121">
        <v>1</v>
      </c>
      <c r="N13" s="121">
        <v>0.96296295166015622</v>
      </c>
      <c r="O13" s="121">
        <v>0.69629631042480467</v>
      </c>
      <c r="P13" s="121">
        <v>0.7185185241699219</v>
      </c>
      <c r="R13" s="4" t="e" cm="1">
        <f t="array" aca="1" ref="R13" ca="1">INDEX(INDIRECT(trust_dq_table),(ROW()-ROW(INDIRECT(trust_dq_cols))),MATCH(selected_dq_name_xc,INDIRECT(trust_dq_cols),0))</f>
        <v>#N/A</v>
      </c>
      <c r="S13" s="4" t="e">
        <f ca="1">RANK(R13,R:R,0)+COUNTIF($R$2:R13,R13)-1</f>
        <v>#N/A</v>
      </c>
    </row>
    <row r="14" spans="1:19" x14ac:dyDescent="0.3">
      <c r="A14" s="98" t="s">
        <v>309</v>
      </c>
      <c r="B14" s="98" t="s">
        <v>310</v>
      </c>
      <c r="C14" s="98" t="s">
        <v>311</v>
      </c>
      <c r="D14" s="98" t="s">
        <v>312</v>
      </c>
      <c r="E14" s="178">
        <v>202</v>
      </c>
      <c r="F14" s="178">
        <v>134</v>
      </c>
      <c r="G14" s="121">
        <v>0.94554458618164061</v>
      </c>
      <c r="H14" s="121">
        <v>0.87128715515136723</v>
      </c>
      <c r="I14" s="121">
        <v>0.69801979064941411</v>
      </c>
      <c r="J14" s="121">
        <v>1</v>
      </c>
      <c r="K14" s="121">
        <v>0.98514854431152343</v>
      </c>
      <c r="L14" s="121">
        <v>0.96039604187011718</v>
      </c>
      <c r="M14" s="121">
        <v>1</v>
      </c>
      <c r="N14" s="121">
        <v>0.94059402465820308</v>
      </c>
      <c r="O14" s="121">
        <v>0.35643566131591797</v>
      </c>
      <c r="P14" s="121">
        <v>7.4257426261901849E-2</v>
      </c>
      <c r="R14" s="146" t="e" cm="1">
        <f t="array" aca="1" ref="R14" ca="1">INDEX(INDIRECT(trust_dq_table),(ROW()-ROW(INDIRECT(trust_dq_cols))),MATCH(selected_dq_name_xc,INDIRECT(trust_dq_cols),0))</f>
        <v>#N/A</v>
      </c>
      <c r="S14" s="146" t="e">
        <f ca="1">RANK(R14,R:R,0)+COUNTIF($R$2:R14,R14)-1</f>
        <v>#N/A</v>
      </c>
    </row>
    <row r="15" spans="1:19" x14ac:dyDescent="0.3">
      <c r="A15" s="3" t="s">
        <v>313</v>
      </c>
      <c r="B15" s="3" t="s">
        <v>314</v>
      </c>
      <c r="C15" s="3" t="s">
        <v>270</v>
      </c>
      <c r="D15" s="3" t="s">
        <v>315</v>
      </c>
      <c r="E15" s="178">
        <v>237</v>
      </c>
      <c r="F15" s="178">
        <v>156</v>
      </c>
      <c r="G15" s="121">
        <v>0.99156120300292971</v>
      </c>
      <c r="H15" s="121">
        <v>0.84810127258300783</v>
      </c>
      <c r="I15" s="121">
        <v>0.64978904724121089</v>
      </c>
      <c r="J15" s="121">
        <v>0.97435897827148432</v>
      </c>
      <c r="K15" s="121">
        <v>0.97890296936035159</v>
      </c>
      <c r="L15" s="121">
        <v>0.98734176635742188</v>
      </c>
      <c r="M15" s="121">
        <v>1</v>
      </c>
      <c r="N15" s="121">
        <v>0.99156120300292971</v>
      </c>
      <c r="O15" s="121">
        <v>0.6793248748779297</v>
      </c>
      <c r="P15" s="121">
        <v>0.62869197845458979</v>
      </c>
      <c r="R15" s="4" t="e" cm="1">
        <f t="array" aca="1" ref="R15" ca="1">INDEX(INDIRECT(trust_dq_table),(ROW()-ROW(INDIRECT(trust_dq_cols))),MATCH(selected_dq_name_xc,INDIRECT(trust_dq_cols),0))</f>
        <v>#N/A</v>
      </c>
      <c r="S15" s="4" t="e">
        <f ca="1">RANK(R15,R:R,0)+COUNTIF($R$2:R15,R15)-1</f>
        <v>#N/A</v>
      </c>
    </row>
    <row r="16" spans="1:19" x14ac:dyDescent="0.3">
      <c r="A16" s="98" t="s">
        <v>317</v>
      </c>
      <c r="B16" s="98" t="s">
        <v>318</v>
      </c>
      <c r="C16" s="98" t="s">
        <v>265</v>
      </c>
      <c r="D16" s="98" t="s">
        <v>319</v>
      </c>
      <c r="E16" s="178">
        <v>122</v>
      </c>
      <c r="F16" s="178">
        <v>67</v>
      </c>
      <c r="G16" s="121">
        <v>0.97540985107421874</v>
      </c>
      <c r="H16" s="121">
        <v>0.95081970214843747</v>
      </c>
      <c r="I16" s="121">
        <v>0.62295082092285159</v>
      </c>
      <c r="J16" s="121">
        <v>0.9850746154785156</v>
      </c>
      <c r="K16" s="121">
        <v>1</v>
      </c>
      <c r="L16" s="121">
        <v>0.97540985107421874</v>
      </c>
      <c r="M16" s="121">
        <v>1</v>
      </c>
      <c r="N16" s="121">
        <v>1</v>
      </c>
      <c r="O16" s="121">
        <v>0.73770492553710942</v>
      </c>
      <c r="P16" s="121">
        <v>0.85245903015136715</v>
      </c>
      <c r="R16" s="146" t="e" cm="1">
        <f t="array" aca="1" ref="R16" ca="1">INDEX(INDIRECT(trust_dq_table),(ROW()-ROW(INDIRECT(trust_dq_cols))),MATCH(selected_dq_name_xc,INDIRECT(trust_dq_cols),0))</f>
        <v>#N/A</v>
      </c>
      <c r="S16" s="146" t="e">
        <f ca="1">RANK(R16,R:R,0)+COUNTIF($R$2:R16,R16)-1</f>
        <v>#N/A</v>
      </c>
    </row>
    <row r="17" spans="1:19" x14ac:dyDescent="0.3">
      <c r="A17" s="3" t="s">
        <v>321</v>
      </c>
      <c r="B17" s="3" t="s">
        <v>322</v>
      </c>
      <c r="C17" s="3" t="s">
        <v>304</v>
      </c>
      <c r="D17" s="3" t="s">
        <v>323</v>
      </c>
      <c r="E17" s="178">
        <v>443</v>
      </c>
      <c r="F17" s="178">
        <v>274</v>
      </c>
      <c r="G17" s="121">
        <v>0.95485328674316405</v>
      </c>
      <c r="H17" s="121">
        <v>0.96162528991699214</v>
      </c>
      <c r="I17" s="121">
        <v>0.65237022399902345</v>
      </c>
      <c r="J17" s="121">
        <v>1</v>
      </c>
      <c r="K17" s="121">
        <v>0.92776527404785158</v>
      </c>
      <c r="L17" s="121">
        <v>0.94808128356933596</v>
      </c>
      <c r="M17" s="121">
        <v>1</v>
      </c>
      <c r="N17" s="121">
        <v>0.9909706878662109</v>
      </c>
      <c r="O17" s="121">
        <v>0.75395034790039062</v>
      </c>
      <c r="P17" s="121">
        <v>0.93453727722167967</v>
      </c>
      <c r="R17" s="4" t="e" cm="1">
        <f t="array" aca="1" ref="R17" ca="1">INDEX(INDIRECT(trust_dq_table),(ROW()-ROW(INDIRECT(trust_dq_cols))),MATCH(selected_dq_name_xc,INDIRECT(trust_dq_cols),0))</f>
        <v>#N/A</v>
      </c>
      <c r="S17" s="4" t="e">
        <f ca="1">RANK(R17,R:R,0)+COUNTIF($R$2:R17,R17)-1</f>
        <v>#N/A</v>
      </c>
    </row>
    <row r="18" spans="1:19" x14ac:dyDescent="0.3">
      <c r="A18" s="98" t="s">
        <v>324</v>
      </c>
      <c r="B18" s="98" t="s">
        <v>325</v>
      </c>
      <c r="C18" s="98" t="s">
        <v>311</v>
      </c>
      <c r="D18" s="98" t="s">
        <v>312</v>
      </c>
      <c r="E18" s="178">
        <v>94</v>
      </c>
      <c r="F18" s="178">
        <v>71</v>
      </c>
      <c r="G18" s="121">
        <v>0.9255319213867188</v>
      </c>
      <c r="H18" s="121">
        <v>0.7872340393066406</v>
      </c>
      <c r="I18" s="121">
        <v>0.80851066589355469</v>
      </c>
      <c r="J18" s="121">
        <v>1</v>
      </c>
      <c r="K18" s="121">
        <v>0.97872337341308591</v>
      </c>
      <c r="L18" s="121">
        <v>0.9255319213867188</v>
      </c>
      <c r="M18" s="121">
        <v>1</v>
      </c>
      <c r="N18" s="121">
        <v>0.98936172485351559</v>
      </c>
      <c r="O18" s="121">
        <v>0.6489361572265625</v>
      </c>
      <c r="P18" s="121">
        <v>3.1914894580841062E-2</v>
      </c>
      <c r="R18" s="146" t="e" cm="1">
        <f t="array" aca="1" ref="R18" ca="1">INDEX(INDIRECT(trust_dq_table),(ROW()-ROW(INDIRECT(trust_dq_cols))),MATCH(selected_dq_name_xc,INDIRECT(trust_dq_cols),0))</f>
        <v>#N/A</v>
      </c>
      <c r="S18" s="146" t="e">
        <f ca="1">RANK(R18,R:R,0)+COUNTIF($R$2:R18,R18)-1</f>
        <v>#N/A</v>
      </c>
    </row>
    <row r="19" spans="1:19" x14ac:dyDescent="0.3">
      <c r="A19" s="3" t="s">
        <v>326</v>
      </c>
      <c r="B19" s="3" t="s">
        <v>327</v>
      </c>
      <c r="C19" s="3" t="s">
        <v>291</v>
      </c>
      <c r="D19" s="3" t="s">
        <v>328</v>
      </c>
      <c r="E19" s="178">
        <v>148</v>
      </c>
      <c r="F19" s="178">
        <v>96</v>
      </c>
      <c r="G19" s="121">
        <v>0.81081077575683591</v>
      </c>
      <c r="H19" s="121">
        <v>0.93243240356445312</v>
      </c>
      <c r="I19" s="121">
        <v>0.93243240356445312</v>
      </c>
      <c r="J19" s="121">
        <v>0.98958335876464842</v>
      </c>
      <c r="K19" s="121">
        <v>1</v>
      </c>
      <c r="L19" s="121">
        <v>0.95270271301269527</v>
      </c>
      <c r="M19" s="121">
        <v>1</v>
      </c>
      <c r="N19" s="121">
        <v>0.96621620178222656</v>
      </c>
      <c r="O19" s="121">
        <v>0.71621620178222656</v>
      </c>
      <c r="P19" s="121">
        <v>0.62162162780761721</v>
      </c>
      <c r="R19" s="4" t="e" cm="1">
        <f t="array" aca="1" ref="R19" ca="1">INDEX(INDIRECT(trust_dq_table),(ROW()-ROW(INDIRECT(trust_dq_cols))),MATCH(selected_dq_name_xc,INDIRECT(trust_dq_cols),0))</f>
        <v>#N/A</v>
      </c>
      <c r="S19" s="4" t="e">
        <f ca="1">RANK(R19,R:R,0)+COUNTIF($R$2:R19,R19)-1</f>
        <v>#N/A</v>
      </c>
    </row>
    <row r="20" spans="1:19" x14ac:dyDescent="0.3">
      <c r="A20" s="98" t="s">
        <v>329</v>
      </c>
      <c r="B20" s="98" t="s">
        <v>330</v>
      </c>
      <c r="C20" s="98" t="s">
        <v>277</v>
      </c>
      <c r="D20" s="98" t="s">
        <v>278</v>
      </c>
      <c r="E20" s="178">
        <v>367</v>
      </c>
      <c r="F20" s="178">
        <v>196</v>
      </c>
      <c r="G20" s="121">
        <v>0.85286102294921873</v>
      </c>
      <c r="H20" s="121">
        <v>0.68937332153320308</v>
      </c>
      <c r="I20" s="121">
        <v>0.51498638153076171</v>
      </c>
      <c r="J20" s="121">
        <v>0.93877548217773432</v>
      </c>
      <c r="K20" s="121">
        <v>0.85831062316894535</v>
      </c>
      <c r="L20" s="121">
        <v>0.91825614929199217</v>
      </c>
      <c r="M20" s="121">
        <v>1</v>
      </c>
      <c r="N20" s="121">
        <v>0.97820159912109372</v>
      </c>
      <c r="O20" s="121">
        <v>0.41689373016357423</v>
      </c>
      <c r="P20" s="121">
        <v>0.19618528366088867</v>
      </c>
      <c r="R20" s="146" t="e" cm="1">
        <f t="array" aca="1" ref="R20" ca="1">INDEX(INDIRECT(trust_dq_table),(ROW()-ROW(INDIRECT(trust_dq_cols))),MATCH(selected_dq_name_xc,INDIRECT(trust_dq_cols),0))</f>
        <v>#N/A</v>
      </c>
      <c r="S20" s="146" t="e">
        <f ca="1">RANK(R20,R:R,0)+COUNTIF($R$2:R20,R20)-1</f>
        <v>#N/A</v>
      </c>
    </row>
    <row r="21" spans="1:19" x14ac:dyDescent="0.3">
      <c r="A21" s="3" t="s">
        <v>332</v>
      </c>
      <c r="B21" s="3" t="s">
        <v>333</v>
      </c>
      <c r="C21" s="3" t="s">
        <v>331</v>
      </c>
      <c r="D21" s="3" t="s">
        <v>334</v>
      </c>
      <c r="E21" s="178">
        <v>156</v>
      </c>
      <c r="F21" s="178">
        <v>96</v>
      </c>
      <c r="G21" s="121">
        <v>0.95512817382812498</v>
      </c>
      <c r="H21" s="121">
        <v>0.97435897827148432</v>
      </c>
      <c r="I21" s="121">
        <v>0.66025642395019535</v>
      </c>
      <c r="J21" s="121">
        <v>1</v>
      </c>
      <c r="K21" s="121">
        <v>0.99358970642089839</v>
      </c>
      <c r="L21" s="121">
        <v>0.97435897827148432</v>
      </c>
      <c r="M21" s="121">
        <v>1</v>
      </c>
      <c r="N21" s="121">
        <v>0.96153846740722659</v>
      </c>
      <c r="O21" s="121">
        <v>0.71794868469238282</v>
      </c>
      <c r="P21" s="121">
        <v>0.94230766296386714</v>
      </c>
      <c r="R21" s="4" t="e" cm="1">
        <f t="array" aca="1" ref="R21" ca="1">INDEX(INDIRECT(trust_dq_table),(ROW()-ROW(INDIRECT(trust_dq_cols))),MATCH(selected_dq_name_xc,INDIRECT(trust_dq_cols),0))</f>
        <v>#N/A</v>
      </c>
      <c r="S21" s="4" t="e">
        <f ca="1">RANK(R21,R:R,0)+COUNTIF($R$2:R21,R21)-1</f>
        <v>#N/A</v>
      </c>
    </row>
    <row r="22" spans="1:19" x14ac:dyDescent="0.3">
      <c r="A22" s="98" t="s">
        <v>336</v>
      </c>
      <c r="B22" s="98" t="s">
        <v>337</v>
      </c>
      <c r="C22" s="98" t="s">
        <v>279</v>
      </c>
      <c r="D22" s="98" t="s">
        <v>285</v>
      </c>
      <c r="E22" s="178">
        <v>211</v>
      </c>
      <c r="F22" s="178">
        <v>137</v>
      </c>
      <c r="G22" s="121">
        <v>0.76303314208984374</v>
      </c>
      <c r="H22" s="121">
        <v>0.69194313049316403</v>
      </c>
      <c r="I22" s="121">
        <v>0.65402847290039068</v>
      </c>
      <c r="J22" s="121">
        <v>0.97080291748046876</v>
      </c>
      <c r="K22" s="121">
        <v>0.99052131652832032</v>
      </c>
      <c r="L22" s="121">
        <v>0.89573463439941403</v>
      </c>
      <c r="M22" s="121">
        <v>1</v>
      </c>
      <c r="N22" s="121">
        <v>0.94312797546386717</v>
      </c>
      <c r="O22" s="121">
        <v>0.51658767700195307</v>
      </c>
      <c r="P22" s="121">
        <v>0.11374407768249511</v>
      </c>
      <c r="R22" s="146" t="e" cm="1">
        <f t="array" aca="1" ref="R22" ca="1">INDEX(INDIRECT(trust_dq_table),(ROW()-ROW(INDIRECT(trust_dq_cols))),MATCH(selected_dq_name_xc,INDIRECT(trust_dq_cols),0))</f>
        <v>#N/A</v>
      </c>
      <c r="S22" s="146" t="e">
        <f ca="1">RANK(R22,R:R,0)+COUNTIF($R$2:R22,R22)-1</f>
        <v>#N/A</v>
      </c>
    </row>
    <row r="23" spans="1:19" x14ac:dyDescent="0.3">
      <c r="A23" s="3" t="s">
        <v>338</v>
      </c>
      <c r="B23" s="3" t="s">
        <v>339</v>
      </c>
      <c r="C23" s="3" t="s">
        <v>265</v>
      </c>
      <c r="D23" s="3" t="s">
        <v>319</v>
      </c>
      <c r="E23" s="178">
        <v>113</v>
      </c>
      <c r="F23" s="178">
        <v>73</v>
      </c>
      <c r="G23" s="121">
        <v>0.97345130920410161</v>
      </c>
      <c r="H23" s="121">
        <v>0.97345130920410161</v>
      </c>
      <c r="I23" s="121">
        <v>0.65486724853515621</v>
      </c>
      <c r="J23" s="121">
        <v>0.97260276794433598</v>
      </c>
      <c r="K23" s="121">
        <v>1</v>
      </c>
      <c r="L23" s="121">
        <v>0.95575218200683598</v>
      </c>
      <c r="M23" s="121">
        <v>1</v>
      </c>
      <c r="N23" s="121">
        <v>0.97345130920410161</v>
      </c>
      <c r="O23" s="121">
        <v>0.73451324462890621</v>
      </c>
      <c r="P23" s="121">
        <v>0.84955749511718748</v>
      </c>
      <c r="R23" s="4" t="e" cm="1">
        <f t="array" aca="1" ref="R23" ca="1">INDEX(INDIRECT(trust_dq_table),(ROW()-ROW(INDIRECT(trust_dq_cols))),MATCH(selected_dq_name_xc,INDIRECT(trust_dq_cols),0))</f>
        <v>#N/A</v>
      </c>
      <c r="S23" s="4" t="e">
        <f ca="1">RANK(R23,R:R,0)+COUNTIF($R$2:R23,R23)-1</f>
        <v>#N/A</v>
      </c>
    </row>
    <row r="24" spans="1:19" x14ac:dyDescent="0.3">
      <c r="A24" s="98" t="s">
        <v>340</v>
      </c>
      <c r="B24" s="98" t="s">
        <v>341</v>
      </c>
      <c r="C24" s="98" t="s">
        <v>291</v>
      </c>
      <c r="D24" s="98" t="s">
        <v>328</v>
      </c>
      <c r="E24" s="178">
        <v>475</v>
      </c>
      <c r="F24" s="178">
        <v>250</v>
      </c>
      <c r="G24" s="121">
        <v>0.8</v>
      </c>
      <c r="H24" s="121">
        <v>0.85052635192871096</v>
      </c>
      <c r="I24" s="121">
        <v>0.72842102050781254</v>
      </c>
      <c r="J24" s="121">
        <v>1</v>
      </c>
      <c r="K24" s="121">
        <v>0.98526313781738284</v>
      </c>
      <c r="L24" s="121">
        <v>0.9178947448730469</v>
      </c>
      <c r="M24" s="121">
        <v>1</v>
      </c>
      <c r="N24" s="121">
        <v>0.94315788269042966</v>
      </c>
      <c r="O24" s="121">
        <v>0.56210525512695309</v>
      </c>
      <c r="P24" s="121">
        <v>0.40421051025390625</v>
      </c>
      <c r="R24" s="146" t="e" cm="1">
        <f t="array" aca="1" ref="R24" ca="1">INDEX(INDIRECT(trust_dq_table),(ROW()-ROW(INDIRECT(trust_dq_cols))),MATCH(selected_dq_name_xc,INDIRECT(trust_dq_cols),0))</f>
        <v>#N/A</v>
      </c>
      <c r="S24" s="146" t="e">
        <f ca="1">RANK(R24,R:R,0)+COUNTIF($R$2:R24,R24)-1</f>
        <v>#N/A</v>
      </c>
    </row>
    <row r="25" spans="1:19" x14ac:dyDescent="0.3">
      <c r="A25" s="3" t="s">
        <v>342</v>
      </c>
      <c r="B25" s="3" t="s">
        <v>343</v>
      </c>
      <c r="C25" s="3" t="s">
        <v>289</v>
      </c>
      <c r="D25" s="3" t="s">
        <v>290</v>
      </c>
      <c r="E25" s="178">
        <v>326</v>
      </c>
      <c r="F25" s="178">
        <v>177</v>
      </c>
      <c r="G25" s="121">
        <v>0.96625770568847658</v>
      </c>
      <c r="H25" s="121">
        <v>0.92638038635253905</v>
      </c>
      <c r="I25" s="121">
        <v>0.54907974243164059</v>
      </c>
      <c r="J25" s="121">
        <v>1</v>
      </c>
      <c r="K25" s="121">
        <v>0.98159507751464847</v>
      </c>
      <c r="L25" s="121">
        <v>0.98773002624511719</v>
      </c>
      <c r="M25" s="121">
        <v>1</v>
      </c>
      <c r="N25" s="121">
        <v>0.99079757690429693</v>
      </c>
      <c r="O25" s="121">
        <v>0.66564414978027342</v>
      </c>
      <c r="P25" s="121">
        <v>0.89263801574707036</v>
      </c>
      <c r="R25" s="4" t="e" cm="1">
        <f t="array" aca="1" ref="R25" ca="1">INDEX(INDIRECT(trust_dq_table),(ROW()-ROW(INDIRECT(trust_dq_cols))),MATCH(selected_dq_name_xc,INDIRECT(trust_dq_cols),0))</f>
        <v>#N/A</v>
      </c>
      <c r="S25" s="4" t="e">
        <f ca="1">RANK(R25,R:R,0)+COUNTIF($R$2:R25,R25)-1</f>
        <v>#N/A</v>
      </c>
    </row>
    <row r="26" spans="1:19" x14ac:dyDescent="0.3">
      <c r="A26" s="98" t="s">
        <v>345</v>
      </c>
      <c r="B26" s="98" t="s">
        <v>346</v>
      </c>
      <c r="C26" s="98" t="s">
        <v>275</v>
      </c>
      <c r="D26" s="98" t="s">
        <v>307</v>
      </c>
      <c r="E26" s="178">
        <v>422</v>
      </c>
      <c r="F26" s="178">
        <v>245</v>
      </c>
      <c r="G26" s="121">
        <v>0.83412322998046873</v>
      </c>
      <c r="H26" s="121">
        <v>0.89573463439941403</v>
      </c>
      <c r="I26" s="121">
        <v>0.6350711059570312</v>
      </c>
      <c r="J26" s="121">
        <v>0.99183670043945316</v>
      </c>
      <c r="K26" s="121">
        <v>0.98815162658691402</v>
      </c>
      <c r="L26" s="121">
        <v>0.95497627258300777</v>
      </c>
      <c r="M26" s="121">
        <v>1</v>
      </c>
      <c r="N26" s="121">
        <v>0.95260665893554686</v>
      </c>
      <c r="O26" s="121">
        <v>0.55924171447753901</v>
      </c>
      <c r="P26" s="121">
        <v>0.59241706848144526</v>
      </c>
      <c r="R26" s="146" t="e" cm="1">
        <f t="array" aca="1" ref="R26" ca="1">INDEX(INDIRECT(trust_dq_table),(ROW()-ROW(INDIRECT(trust_dq_cols))),MATCH(selected_dq_name_xc,INDIRECT(trust_dq_cols),0))</f>
        <v>#N/A</v>
      </c>
      <c r="S26" s="146" t="e">
        <f ca="1">RANK(R26,R:R,0)+COUNTIF($R$2:R26,R26)-1</f>
        <v>#N/A</v>
      </c>
    </row>
    <row r="27" spans="1:19" x14ac:dyDescent="0.3">
      <c r="A27" s="3" t="s">
        <v>347</v>
      </c>
      <c r="B27" s="3" t="s">
        <v>348</v>
      </c>
      <c r="C27" s="3" t="s">
        <v>268</v>
      </c>
      <c r="D27" s="3" t="s">
        <v>269</v>
      </c>
      <c r="E27" s="178">
        <v>236</v>
      </c>
      <c r="F27" s="178">
        <v>157</v>
      </c>
      <c r="G27" s="121">
        <v>0.82627120971679691</v>
      </c>
      <c r="H27" s="121">
        <v>0.6483050537109375</v>
      </c>
      <c r="I27" s="121">
        <v>0.66101692199707029</v>
      </c>
      <c r="J27" s="121">
        <v>0.98089172363281252</v>
      </c>
      <c r="K27" s="121">
        <v>0.98305084228515627</v>
      </c>
      <c r="L27" s="121">
        <v>0.87711860656738283</v>
      </c>
      <c r="M27" s="121">
        <v>1</v>
      </c>
      <c r="N27" s="121">
        <v>0.87288139343261717</v>
      </c>
      <c r="O27" s="121">
        <v>0.30932203292846677</v>
      </c>
      <c r="P27" s="121">
        <v>0.36440677642822267</v>
      </c>
      <c r="R27" s="4" t="e" cm="1">
        <f t="array" aca="1" ref="R27" ca="1">INDEX(INDIRECT(trust_dq_table),(ROW()-ROW(INDIRECT(trust_dq_cols))),MATCH(selected_dq_name_xc,INDIRECT(trust_dq_cols),0))</f>
        <v>#N/A</v>
      </c>
      <c r="S27" s="4" t="e">
        <f ca="1">RANK(R27,R:R,0)+COUNTIF($R$2:R27,R27)-1</f>
        <v>#N/A</v>
      </c>
    </row>
    <row r="28" spans="1:19" x14ac:dyDescent="0.3">
      <c r="A28" s="98" t="s">
        <v>349</v>
      </c>
      <c r="B28" s="98" t="s">
        <v>350</v>
      </c>
      <c r="C28" s="98" t="s">
        <v>311</v>
      </c>
      <c r="D28" s="98" t="s">
        <v>312</v>
      </c>
      <c r="E28" s="178">
        <v>197</v>
      </c>
      <c r="F28" s="178">
        <v>118</v>
      </c>
      <c r="G28" s="121">
        <v>0.92385787963867183</v>
      </c>
      <c r="H28" s="121">
        <v>0.83248733520507812</v>
      </c>
      <c r="I28" s="121">
        <v>0.95431472778320314</v>
      </c>
      <c r="J28" s="121">
        <v>1</v>
      </c>
      <c r="K28" s="121">
        <v>0.99492385864257815</v>
      </c>
      <c r="L28" s="121">
        <v>0.93908630371093749</v>
      </c>
      <c r="M28" s="121">
        <v>1</v>
      </c>
      <c r="N28" s="121">
        <v>0.98477157592773434</v>
      </c>
      <c r="O28" s="121">
        <v>0.37055835723876951</v>
      </c>
      <c r="P28" s="121">
        <v>0.84263961791992192</v>
      </c>
      <c r="R28" s="146" t="e" cm="1">
        <f t="array" aca="1" ref="R28" ca="1">INDEX(INDIRECT(trust_dq_table),(ROW()-ROW(INDIRECT(trust_dq_cols))),MATCH(selected_dq_name_xc,INDIRECT(trust_dq_cols),0))</f>
        <v>#N/A</v>
      </c>
      <c r="S28" s="146" t="e">
        <f ca="1">RANK(R28,R:R,0)+COUNTIF($R$2:R28,R28)-1</f>
        <v>#N/A</v>
      </c>
    </row>
    <row r="29" spans="1:19" x14ac:dyDescent="0.3">
      <c r="A29" s="3" t="s">
        <v>351</v>
      </c>
      <c r="B29" s="3" t="s">
        <v>352</v>
      </c>
      <c r="C29" s="3" t="s">
        <v>268</v>
      </c>
      <c r="D29" s="3" t="s">
        <v>269</v>
      </c>
      <c r="E29" s="178">
        <v>374</v>
      </c>
      <c r="F29" s="178">
        <v>231</v>
      </c>
      <c r="G29" s="121">
        <v>0.90641708374023433</v>
      </c>
      <c r="H29" s="121">
        <v>0.95721923828125</v>
      </c>
      <c r="I29" s="121">
        <v>0.62566844940185551</v>
      </c>
      <c r="J29" s="121">
        <v>0.9740259552001953</v>
      </c>
      <c r="K29" s="121">
        <v>0.99465240478515626</v>
      </c>
      <c r="L29" s="121">
        <v>0.97860961914062505</v>
      </c>
      <c r="M29" s="121">
        <v>1</v>
      </c>
      <c r="N29" s="121">
        <v>0.95989303588867192</v>
      </c>
      <c r="O29" s="121">
        <v>0.71390373229980464</v>
      </c>
      <c r="P29" s="121">
        <v>0.72994651794433596</v>
      </c>
      <c r="R29" s="4" t="e" cm="1">
        <f t="array" aca="1" ref="R29" ca="1">INDEX(INDIRECT(trust_dq_table),(ROW()-ROW(INDIRECT(trust_dq_cols))),MATCH(selected_dq_name_xc,INDIRECT(trust_dq_cols),0))</f>
        <v>#N/A</v>
      </c>
      <c r="S29" s="4" t="e">
        <f ca="1">RANK(R29,R:R,0)+COUNTIF($R$2:R29,R29)-1</f>
        <v>#N/A</v>
      </c>
    </row>
    <row r="30" spans="1:19" x14ac:dyDescent="0.3">
      <c r="A30" s="98" t="s">
        <v>353</v>
      </c>
      <c r="B30" s="98" t="s">
        <v>354</v>
      </c>
      <c r="C30" s="98" t="s">
        <v>304</v>
      </c>
      <c r="D30" s="98" t="s">
        <v>323</v>
      </c>
      <c r="E30" s="178">
        <v>238</v>
      </c>
      <c r="F30" s="178">
        <v>115</v>
      </c>
      <c r="G30" s="121">
        <v>0.86554618835449215</v>
      </c>
      <c r="H30" s="121">
        <v>0.88235290527343746</v>
      </c>
      <c r="I30" s="121">
        <v>0.46638656616210938</v>
      </c>
      <c r="J30" s="121">
        <v>0.92173912048339846</v>
      </c>
      <c r="K30" s="121">
        <v>0.99159660339355471</v>
      </c>
      <c r="L30" s="121">
        <v>0.94957984924316408</v>
      </c>
      <c r="M30" s="121">
        <v>1</v>
      </c>
      <c r="N30" s="121">
        <v>0.96218490600585938</v>
      </c>
      <c r="O30" s="121">
        <v>0.61764705657958985</v>
      </c>
      <c r="P30" s="121">
        <v>0.3613445281982422</v>
      </c>
      <c r="R30" s="146" t="e" cm="1">
        <f t="array" aca="1" ref="R30" ca="1">INDEX(INDIRECT(trust_dq_table),(ROW()-ROW(INDIRECT(trust_dq_cols))),MATCH(selected_dq_name_xc,INDIRECT(trust_dq_cols),0))</f>
        <v>#N/A</v>
      </c>
      <c r="S30" s="146" t="e">
        <f ca="1">RANK(R30,R:R,0)+COUNTIF($R$2:R30,R30)-1</f>
        <v>#N/A</v>
      </c>
    </row>
    <row r="31" spans="1:19" x14ac:dyDescent="0.3">
      <c r="A31" s="3" t="s">
        <v>355</v>
      </c>
      <c r="B31" s="3" t="s">
        <v>356</v>
      </c>
      <c r="C31" s="3" t="s">
        <v>335</v>
      </c>
      <c r="D31" s="3" t="s">
        <v>357</v>
      </c>
      <c r="E31" s="178">
        <v>99</v>
      </c>
      <c r="F31" s="178">
        <v>58</v>
      </c>
      <c r="G31" s="121">
        <v>0.87878784179687497</v>
      </c>
      <c r="H31" s="121">
        <v>0.89898986816406246</v>
      </c>
      <c r="I31" s="121">
        <v>0.59595958709716801</v>
      </c>
      <c r="J31" s="121">
        <v>0.98275863647460937</v>
      </c>
      <c r="K31" s="121">
        <v>0.97979797363281251</v>
      </c>
      <c r="L31" s="121">
        <v>0.88888885498046877</v>
      </c>
      <c r="M31" s="121">
        <v>1</v>
      </c>
      <c r="N31" s="121">
        <v>0.95959594726562503</v>
      </c>
      <c r="O31" s="121">
        <v>0.6060606002807617</v>
      </c>
      <c r="P31" s="121">
        <v>0.47474746704101561</v>
      </c>
      <c r="R31" s="4" t="e" cm="1">
        <f t="array" aca="1" ref="R31" ca="1">INDEX(INDIRECT(trust_dq_table),(ROW()-ROW(INDIRECT(trust_dq_cols))),MATCH(selected_dq_name_xc,INDIRECT(trust_dq_cols),0))</f>
        <v>#N/A</v>
      </c>
      <c r="S31" s="4" t="e">
        <f ca="1">RANK(R31,R:R,0)+COUNTIF($R$2:R31,R31)-1</f>
        <v>#N/A</v>
      </c>
    </row>
    <row r="32" spans="1:19" x14ac:dyDescent="0.3">
      <c r="A32" s="98" t="s">
        <v>358</v>
      </c>
      <c r="B32" s="98" t="s">
        <v>359</v>
      </c>
      <c r="C32" s="98" t="s">
        <v>316</v>
      </c>
      <c r="D32" s="98" t="s">
        <v>360</v>
      </c>
      <c r="E32" s="178">
        <v>261</v>
      </c>
      <c r="F32" s="178">
        <v>180</v>
      </c>
      <c r="G32" s="121">
        <v>0.96168579101562501</v>
      </c>
      <c r="H32" s="121">
        <v>0.95785438537597656</v>
      </c>
      <c r="I32" s="121">
        <v>0.68965515136718747</v>
      </c>
      <c r="J32" s="121">
        <v>0.99444442749023443</v>
      </c>
      <c r="K32" s="121">
        <v>0.95019157409667965</v>
      </c>
      <c r="L32" s="121">
        <v>0.96551727294921874</v>
      </c>
      <c r="M32" s="121">
        <v>1</v>
      </c>
      <c r="N32" s="121">
        <v>0.9540229797363281</v>
      </c>
      <c r="O32" s="121">
        <v>0.72030654907226566</v>
      </c>
      <c r="P32" s="121">
        <v>0</v>
      </c>
      <c r="R32" s="146" t="e" cm="1">
        <f t="array" aca="1" ref="R32" ca="1">INDEX(INDIRECT(trust_dq_table),(ROW()-ROW(INDIRECT(trust_dq_cols))),MATCH(selected_dq_name_xc,INDIRECT(trust_dq_cols),0))</f>
        <v>#N/A</v>
      </c>
      <c r="S32" s="146" t="e">
        <f ca="1">RANK(R32,R:R,0)+COUNTIF($R$2:R32,R32)-1</f>
        <v>#N/A</v>
      </c>
    </row>
    <row r="33" spans="1:19" x14ac:dyDescent="0.3">
      <c r="A33" s="3" t="s">
        <v>361</v>
      </c>
      <c r="B33" s="3" t="s">
        <v>362</v>
      </c>
      <c r="C33" s="3" t="s">
        <v>316</v>
      </c>
      <c r="D33" s="3" t="s">
        <v>360</v>
      </c>
      <c r="E33" s="178">
        <v>179</v>
      </c>
      <c r="F33" s="178">
        <v>98</v>
      </c>
      <c r="G33" s="121">
        <v>0.87150840759277348</v>
      </c>
      <c r="H33" s="121">
        <v>0.88826812744140626</v>
      </c>
      <c r="I33" s="121">
        <v>0.59217876434326167</v>
      </c>
      <c r="J33" s="121">
        <v>1</v>
      </c>
      <c r="K33" s="121">
        <v>0.98882682800292965</v>
      </c>
      <c r="L33" s="121">
        <v>0.88826812744140626</v>
      </c>
      <c r="M33" s="121">
        <v>1</v>
      </c>
      <c r="N33" s="121">
        <v>0.99441337585449219</v>
      </c>
      <c r="O33" s="121">
        <v>0.68715080261230466</v>
      </c>
      <c r="P33" s="121">
        <v>0.84357543945312496</v>
      </c>
      <c r="R33" s="4" t="e" cm="1">
        <f t="array" aca="1" ref="R33" ca="1">INDEX(INDIRECT(trust_dq_table),(ROW()-ROW(INDIRECT(trust_dq_cols))),MATCH(selected_dq_name_xc,INDIRECT(trust_dq_cols),0))</f>
        <v>#N/A</v>
      </c>
      <c r="S33" s="4" t="e">
        <f ca="1">RANK(R33,R:R,0)+COUNTIF($R$2:R33,R33)-1</f>
        <v>#N/A</v>
      </c>
    </row>
    <row r="34" spans="1:19" x14ac:dyDescent="0.3">
      <c r="A34" s="98" t="s">
        <v>363</v>
      </c>
      <c r="B34" s="98" t="s">
        <v>364</v>
      </c>
      <c r="C34" s="98" t="s">
        <v>320</v>
      </c>
      <c r="D34" s="98" t="s">
        <v>365</v>
      </c>
      <c r="E34" s="178">
        <v>352</v>
      </c>
      <c r="F34" s="178">
        <v>169</v>
      </c>
      <c r="G34" s="121">
        <v>0.45454544067382813</v>
      </c>
      <c r="H34" s="121">
        <v>0.47159091949462889</v>
      </c>
      <c r="I34" s="121">
        <v>0.51420455932617193</v>
      </c>
      <c r="J34" s="121">
        <v>0.9763313293457031</v>
      </c>
      <c r="K34" s="121">
        <v>0.97727272033691404</v>
      </c>
      <c r="L34" s="121">
        <v>0.60511363983154298</v>
      </c>
      <c r="M34" s="121">
        <v>1</v>
      </c>
      <c r="N34" s="121">
        <v>0.92897727966308596</v>
      </c>
      <c r="O34" s="121">
        <v>0.2528409004211426</v>
      </c>
      <c r="P34" s="121">
        <v>0.1420454502105713</v>
      </c>
      <c r="R34" s="146" t="e" cm="1">
        <f t="array" aca="1" ref="R34" ca="1">INDEX(INDIRECT(trust_dq_table),(ROW()-ROW(INDIRECT(trust_dq_cols))),MATCH(selected_dq_name_xc,INDIRECT(trust_dq_cols),0))</f>
        <v>#N/A</v>
      </c>
      <c r="S34" s="146" t="e">
        <f ca="1">RANK(R34,R:R,0)+COUNTIF($R$2:R34,R34)-1</f>
        <v>#N/A</v>
      </c>
    </row>
    <row r="35" spans="1:19" x14ac:dyDescent="0.3">
      <c r="A35" s="3" t="s">
        <v>366</v>
      </c>
      <c r="B35" s="3" t="s">
        <v>367</v>
      </c>
      <c r="C35" s="3" t="s">
        <v>331</v>
      </c>
      <c r="D35" s="3" t="s">
        <v>334</v>
      </c>
      <c r="E35" s="178">
        <v>278</v>
      </c>
      <c r="F35" s="178">
        <v>110</v>
      </c>
      <c r="G35" s="121">
        <v>0.93884895324707029</v>
      </c>
      <c r="H35" s="121">
        <v>0.95323738098144528</v>
      </c>
      <c r="I35" s="121">
        <v>0.61870502471923827</v>
      </c>
      <c r="J35" s="121">
        <v>0.97272727966308592</v>
      </c>
      <c r="K35" s="121">
        <v>0.97122299194335937</v>
      </c>
      <c r="L35" s="121">
        <v>0.91726615905761721</v>
      </c>
      <c r="M35" s="121">
        <v>1</v>
      </c>
      <c r="N35" s="121">
        <v>0.98201438903808591</v>
      </c>
      <c r="O35" s="121">
        <v>0.7050359344482422</v>
      </c>
      <c r="P35" s="121">
        <v>0.67985610961914067</v>
      </c>
      <c r="R35" s="4" t="e" cm="1">
        <f t="array" aca="1" ref="R35" ca="1">INDEX(INDIRECT(trust_dq_table),(ROW()-ROW(INDIRECT(trust_dq_cols))),MATCH(selected_dq_name_xc,INDIRECT(trust_dq_cols),0))</f>
        <v>#N/A</v>
      </c>
      <c r="S35" s="4" t="e">
        <f ca="1">RANK(R35,R:R,0)+COUNTIF($R$2:R35,R35)-1</f>
        <v>#N/A</v>
      </c>
    </row>
    <row r="36" spans="1:19" x14ac:dyDescent="0.3">
      <c r="A36" s="98" t="s">
        <v>368</v>
      </c>
      <c r="B36" s="98" t="s">
        <v>369</v>
      </c>
      <c r="C36" s="98" t="s">
        <v>286</v>
      </c>
      <c r="D36" s="98" t="s">
        <v>370</v>
      </c>
      <c r="E36" s="178">
        <v>132</v>
      </c>
      <c r="F36" s="178">
        <v>79</v>
      </c>
      <c r="G36" s="121">
        <v>0.81818183898925778</v>
      </c>
      <c r="H36" s="121">
        <v>0.70454544067382807</v>
      </c>
      <c r="I36" s="121">
        <v>0.95454544067382807</v>
      </c>
      <c r="J36" s="121">
        <v>1</v>
      </c>
      <c r="K36" s="121">
        <v>0.99242424011230468</v>
      </c>
      <c r="L36" s="121">
        <v>0.95454544067382807</v>
      </c>
      <c r="M36" s="121">
        <v>1</v>
      </c>
      <c r="N36" s="121">
        <v>0.97727272033691404</v>
      </c>
      <c r="O36" s="121">
        <v>0.64393936157226561</v>
      </c>
      <c r="P36" s="121">
        <v>0.58333332061767573</v>
      </c>
      <c r="R36" s="146" t="e" cm="1">
        <f t="array" aca="1" ref="R36" ca="1">INDEX(INDIRECT(trust_dq_table),(ROW()-ROW(INDIRECT(trust_dq_cols))),MATCH(selected_dq_name_xc,INDIRECT(trust_dq_cols),0))</f>
        <v>#N/A</v>
      </c>
      <c r="S36" s="146" t="e">
        <f ca="1">RANK(R36,R:R,0)+COUNTIF($R$2:R36,R36)-1</f>
        <v>#N/A</v>
      </c>
    </row>
    <row r="37" spans="1:19" x14ac:dyDescent="0.3">
      <c r="A37" s="3" t="s">
        <v>371</v>
      </c>
      <c r="B37" s="3" t="s">
        <v>372</v>
      </c>
      <c r="C37" s="3" t="s">
        <v>273</v>
      </c>
      <c r="D37" s="3" t="s">
        <v>274</v>
      </c>
      <c r="E37" s="178">
        <v>115</v>
      </c>
      <c r="F37" s="178">
        <v>68</v>
      </c>
      <c r="G37" s="121">
        <v>0.85217391967773437</v>
      </c>
      <c r="H37" s="121">
        <v>0.68695655822753909</v>
      </c>
      <c r="I37" s="121">
        <v>0.6260869598388672</v>
      </c>
      <c r="J37" s="121">
        <v>1</v>
      </c>
      <c r="K37" s="121">
        <v>0.99130432128906254</v>
      </c>
      <c r="L37" s="121">
        <v>0.97391304016113278</v>
      </c>
      <c r="M37" s="121">
        <v>1</v>
      </c>
      <c r="N37" s="121">
        <v>0.99130432128906254</v>
      </c>
      <c r="O37" s="121">
        <v>0.54782608032226565</v>
      </c>
      <c r="P37" s="121">
        <v>0.36521739959716798</v>
      </c>
      <c r="R37" s="4" t="e" cm="1">
        <f t="array" aca="1" ref="R37" ca="1">INDEX(INDIRECT(trust_dq_table),(ROW()-ROW(INDIRECT(trust_dq_cols))),MATCH(selected_dq_name_xc,INDIRECT(trust_dq_cols),0))</f>
        <v>#N/A</v>
      </c>
      <c r="S37" s="4" t="e">
        <f ca="1">RANK(R37,R:R,0)+COUNTIF($R$2:R37,R37)-1</f>
        <v>#N/A</v>
      </c>
    </row>
    <row r="38" spans="1:19" x14ac:dyDescent="0.3">
      <c r="A38" s="98" t="s">
        <v>373</v>
      </c>
      <c r="B38" s="98" t="s">
        <v>374</v>
      </c>
      <c r="C38" s="98" t="s">
        <v>286</v>
      </c>
      <c r="D38" s="98" t="s">
        <v>370</v>
      </c>
      <c r="E38" s="178">
        <v>464</v>
      </c>
      <c r="F38" s="178">
        <v>243</v>
      </c>
      <c r="G38" s="121">
        <v>0.88577583312988284</v>
      </c>
      <c r="H38" s="121">
        <v>0.90086204528808589</v>
      </c>
      <c r="I38" s="121">
        <v>0.549568977355957</v>
      </c>
      <c r="J38" s="121">
        <v>0.97942390441894533</v>
      </c>
      <c r="K38" s="121">
        <v>0.96767242431640621</v>
      </c>
      <c r="L38" s="121">
        <v>0.93965515136718747</v>
      </c>
      <c r="M38" s="121">
        <v>1</v>
      </c>
      <c r="N38" s="121">
        <v>0.91594825744628905</v>
      </c>
      <c r="O38" s="121">
        <v>0.62284481048583984</v>
      </c>
      <c r="P38" s="121">
        <v>0.33836208343505858</v>
      </c>
      <c r="R38" s="146" t="e" cm="1">
        <f t="array" aca="1" ref="R38" ca="1">INDEX(INDIRECT(trust_dq_table),(ROW()-ROW(INDIRECT(trust_dq_cols))),MATCH(selected_dq_name_xc,INDIRECT(trust_dq_cols),0))</f>
        <v>#N/A</v>
      </c>
      <c r="S38" s="146" t="e">
        <f ca="1">RANK(R38,R:R,0)+COUNTIF($R$2:R38,R38)-1</f>
        <v>#N/A</v>
      </c>
    </row>
    <row r="39" spans="1:19" x14ac:dyDescent="0.3">
      <c r="A39" s="3" t="s">
        <v>375</v>
      </c>
      <c r="B39" s="3" t="s">
        <v>376</v>
      </c>
      <c r="C39" s="3" t="s">
        <v>311</v>
      </c>
      <c r="D39" s="3" t="s">
        <v>312</v>
      </c>
      <c r="E39" s="178">
        <v>264</v>
      </c>
      <c r="F39" s="178">
        <v>186</v>
      </c>
      <c r="G39" s="121">
        <v>0.9242424011230469</v>
      </c>
      <c r="H39" s="121">
        <v>0.88257575988769532</v>
      </c>
      <c r="I39" s="121">
        <v>0.69318183898925778</v>
      </c>
      <c r="J39" s="121">
        <v>0.95698921203613285</v>
      </c>
      <c r="K39" s="121">
        <v>0.98484848022460936</v>
      </c>
      <c r="L39" s="121">
        <v>0.95833335876464842</v>
      </c>
      <c r="M39" s="121">
        <v>1</v>
      </c>
      <c r="N39" s="121">
        <v>0.96212120056152339</v>
      </c>
      <c r="O39" s="121">
        <v>0.56060607910156246</v>
      </c>
      <c r="P39" s="121">
        <v>3.7878787517547606E-3</v>
      </c>
      <c r="R39" s="4" t="e" cm="1">
        <f t="array" aca="1" ref="R39" ca="1">INDEX(INDIRECT(trust_dq_table),(ROW()-ROW(INDIRECT(trust_dq_cols))),MATCH(selected_dq_name_xc,INDIRECT(trust_dq_cols),0))</f>
        <v>#N/A</v>
      </c>
      <c r="S39" s="4" t="e">
        <f ca="1">RANK(R39,R:R,0)+COUNTIF($R$2:R39,R39)-1</f>
        <v>#N/A</v>
      </c>
    </row>
    <row r="40" spans="1:19" x14ac:dyDescent="0.3">
      <c r="A40" s="98" t="s">
        <v>377</v>
      </c>
      <c r="B40" s="98" t="s">
        <v>378</v>
      </c>
      <c r="C40" s="98" t="s">
        <v>331</v>
      </c>
      <c r="D40" s="98" t="s">
        <v>334</v>
      </c>
      <c r="E40" s="178">
        <v>108</v>
      </c>
      <c r="F40" s="178">
        <v>82</v>
      </c>
      <c r="G40" s="121">
        <v>0.87962959289550779</v>
      </c>
      <c r="H40" s="121">
        <v>0.74074073791503903</v>
      </c>
      <c r="I40" s="121">
        <v>0.75925926208496097</v>
      </c>
      <c r="J40" s="121">
        <v>0.97560974121093746</v>
      </c>
      <c r="K40" s="121">
        <v>0.97222221374511719</v>
      </c>
      <c r="L40" s="121">
        <v>0.91666664123535158</v>
      </c>
      <c r="M40" s="121">
        <v>1</v>
      </c>
      <c r="N40" s="121">
        <v>0.98148147583007816</v>
      </c>
      <c r="O40" s="121">
        <v>0.61111110687255854</v>
      </c>
      <c r="P40" s="121">
        <v>0.25925926208496092</v>
      </c>
      <c r="R40" s="146" t="e" cm="1">
        <f t="array" aca="1" ref="R40" ca="1">INDEX(INDIRECT(trust_dq_table),(ROW()-ROW(INDIRECT(trust_dq_cols))),MATCH(selected_dq_name_xc,INDIRECT(trust_dq_cols),0))</f>
        <v>#N/A</v>
      </c>
      <c r="S40" s="146" t="e">
        <f ca="1">RANK(R40,R:R,0)+COUNTIF($R$2:R40,R40)-1</f>
        <v>#N/A</v>
      </c>
    </row>
    <row r="41" spans="1:19" x14ac:dyDescent="0.3">
      <c r="A41" s="3" t="s">
        <v>379</v>
      </c>
      <c r="B41" s="3" t="s">
        <v>380</v>
      </c>
      <c r="C41" s="3" t="s">
        <v>275</v>
      </c>
      <c r="D41" s="3" t="s">
        <v>307</v>
      </c>
      <c r="E41" s="178">
        <v>221</v>
      </c>
      <c r="F41" s="178">
        <v>135</v>
      </c>
      <c r="G41" s="121">
        <v>0.97285064697265622</v>
      </c>
      <c r="H41" s="121">
        <v>0.7828054046630859</v>
      </c>
      <c r="I41" s="121">
        <v>0.60180995941162108</v>
      </c>
      <c r="J41" s="121">
        <v>0.97777778625488276</v>
      </c>
      <c r="K41" s="121">
        <v>1</v>
      </c>
      <c r="L41" s="121">
        <v>0.9819004821777344</v>
      </c>
      <c r="M41" s="121">
        <v>1</v>
      </c>
      <c r="N41" s="121">
        <v>0.9819004821777344</v>
      </c>
      <c r="O41" s="121">
        <v>0.71040725708007813</v>
      </c>
      <c r="P41" s="121">
        <v>0.28506788253784182</v>
      </c>
      <c r="R41" s="4" t="e" cm="1">
        <f t="array" aca="1" ref="R41" ca="1">INDEX(INDIRECT(trust_dq_table),(ROW()-ROW(INDIRECT(trust_dq_cols))),MATCH(selected_dq_name_xc,INDIRECT(trust_dq_cols),0))</f>
        <v>#N/A</v>
      </c>
      <c r="S41" s="4" t="e">
        <f ca="1">RANK(R41,R:R,0)+COUNTIF($R$2:R41,R41)-1</f>
        <v>#N/A</v>
      </c>
    </row>
    <row r="42" spans="1:19" x14ac:dyDescent="0.3">
      <c r="A42" s="98" t="s">
        <v>381</v>
      </c>
      <c r="B42" s="98" t="s">
        <v>382</v>
      </c>
      <c r="C42" s="98" t="s">
        <v>270</v>
      </c>
      <c r="D42" s="98" t="s">
        <v>315</v>
      </c>
      <c r="E42" s="178">
        <v>216</v>
      </c>
      <c r="F42" s="178">
        <v>131</v>
      </c>
      <c r="G42" s="121">
        <v>0.73148147583007816</v>
      </c>
      <c r="H42" s="121">
        <v>0.50462963104248049</v>
      </c>
      <c r="I42" s="121">
        <v>0.7175926208496094</v>
      </c>
      <c r="J42" s="121">
        <v>0.98473281860351558</v>
      </c>
      <c r="K42" s="121">
        <v>0.98611114501953123</v>
      </c>
      <c r="L42" s="121">
        <v>0.83796295166015622</v>
      </c>
      <c r="M42" s="121">
        <v>1</v>
      </c>
      <c r="N42" s="121">
        <v>1</v>
      </c>
      <c r="O42" s="121">
        <v>0.66203704833984378</v>
      </c>
      <c r="P42" s="121">
        <v>0.28703702926635744</v>
      </c>
      <c r="R42" s="146" t="e" cm="1">
        <f t="array" aca="1" ref="R42" ca="1">INDEX(INDIRECT(trust_dq_table),(ROW()-ROW(INDIRECT(trust_dq_cols))),MATCH(selected_dq_name_xc,INDIRECT(trust_dq_cols),0))</f>
        <v>#N/A</v>
      </c>
      <c r="S42" s="146" t="e">
        <f ca="1">RANK(R42,R:R,0)+COUNTIF($R$2:R42,R42)-1</f>
        <v>#N/A</v>
      </c>
    </row>
    <row r="43" spans="1:19" x14ac:dyDescent="0.3">
      <c r="A43" s="3" t="s">
        <v>383</v>
      </c>
      <c r="B43" s="3" t="s">
        <v>384</v>
      </c>
      <c r="C43" s="3" t="s">
        <v>320</v>
      </c>
      <c r="D43" s="3" t="s">
        <v>365</v>
      </c>
      <c r="E43" s="178">
        <v>335</v>
      </c>
      <c r="F43" s="178">
        <v>140</v>
      </c>
      <c r="G43" s="121">
        <v>0.84477615356445313</v>
      </c>
      <c r="H43" s="121">
        <v>0.71641792297363283</v>
      </c>
      <c r="I43" s="121">
        <v>0.42388061523437498</v>
      </c>
      <c r="J43" s="121">
        <v>0.81428573608398436</v>
      </c>
      <c r="K43" s="121">
        <v>0.9850746154785156</v>
      </c>
      <c r="L43" s="121">
        <v>0.97014923095703121</v>
      </c>
      <c r="M43" s="121">
        <v>1</v>
      </c>
      <c r="N43" s="121">
        <v>0.98805969238281255</v>
      </c>
      <c r="O43" s="121">
        <v>0.68059700012207036</v>
      </c>
      <c r="P43" s="121">
        <v>0.61194030761718754</v>
      </c>
      <c r="R43" s="4" t="e" cm="1">
        <f t="array" aca="1" ref="R43" ca="1">INDEX(INDIRECT(trust_dq_table),(ROW()-ROW(INDIRECT(trust_dq_cols))),MATCH(selected_dq_name_xc,INDIRECT(trust_dq_cols),0))</f>
        <v>#N/A</v>
      </c>
      <c r="S43" s="4" t="e">
        <f ca="1">RANK(R43,R:R,0)+COUNTIF($R$2:R43,R43)-1</f>
        <v>#N/A</v>
      </c>
    </row>
    <row r="44" spans="1:19" x14ac:dyDescent="0.3">
      <c r="A44" s="98" t="s">
        <v>385</v>
      </c>
      <c r="B44" s="98" t="s">
        <v>386</v>
      </c>
      <c r="C44" s="98" t="s">
        <v>311</v>
      </c>
      <c r="D44" s="98" t="s">
        <v>312</v>
      </c>
      <c r="E44" s="178">
        <v>117</v>
      </c>
      <c r="F44" s="178">
        <v>89</v>
      </c>
      <c r="G44" s="121">
        <v>0.93162391662597654</v>
      </c>
      <c r="H44" s="121">
        <v>0.92307693481445308</v>
      </c>
      <c r="I44" s="121">
        <v>0.82905982971191405</v>
      </c>
      <c r="J44" s="121">
        <v>1</v>
      </c>
      <c r="K44" s="121">
        <v>0.99145301818847653</v>
      </c>
      <c r="L44" s="121">
        <v>0.98290596008300779</v>
      </c>
      <c r="M44" s="121">
        <v>1</v>
      </c>
      <c r="N44" s="121">
        <v>0.95726493835449222</v>
      </c>
      <c r="O44" s="121">
        <v>0.6410256195068359</v>
      </c>
      <c r="P44" s="121">
        <v>8.547008633613587E-3</v>
      </c>
      <c r="R44" s="146" t="e" cm="1">
        <f t="array" aca="1" ref="R44" ca="1">INDEX(INDIRECT(trust_dq_table),(ROW()-ROW(INDIRECT(trust_dq_cols))),MATCH(selected_dq_name_xc,INDIRECT(trust_dq_cols),0))</f>
        <v>#N/A</v>
      </c>
      <c r="S44" s="146" t="e">
        <f ca="1">RANK(R44,R:R,0)+COUNTIF($R$2:R44,R44)-1</f>
        <v>#N/A</v>
      </c>
    </row>
    <row r="45" spans="1:19" x14ac:dyDescent="0.3">
      <c r="A45" s="3" t="s">
        <v>387</v>
      </c>
      <c r="B45" s="3" t="s">
        <v>388</v>
      </c>
      <c r="C45" s="3" t="s">
        <v>289</v>
      </c>
      <c r="D45" s="3" t="s">
        <v>290</v>
      </c>
      <c r="E45" s="178">
        <v>232</v>
      </c>
      <c r="F45" s="178">
        <v>118</v>
      </c>
      <c r="G45" s="121">
        <v>0.72413795471191411</v>
      </c>
      <c r="H45" s="121">
        <v>0.51724136352539063</v>
      </c>
      <c r="I45" s="121">
        <v>0.58620689392089842</v>
      </c>
      <c r="J45" s="121">
        <v>0.96610168457031254</v>
      </c>
      <c r="K45" s="121">
        <v>0.99568962097167968</v>
      </c>
      <c r="L45" s="121">
        <v>0.88362068176269526</v>
      </c>
      <c r="M45" s="121">
        <v>1</v>
      </c>
      <c r="N45" s="121">
        <v>0.96982757568359379</v>
      </c>
      <c r="O45" s="121">
        <v>0.67672416687011716</v>
      </c>
      <c r="P45" s="121">
        <v>0.15086206436157226</v>
      </c>
      <c r="R45" s="4" t="e" cm="1">
        <f t="array" aca="1" ref="R45" ca="1">INDEX(INDIRECT(trust_dq_table),(ROW()-ROW(INDIRECT(trust_dq_cols))),MATCH(selected_dq_name_xc,INDIRECT(trust_dq_cols),0))</f>
        <v>#N/A</v>
      </c>
      <c r="S45" s="4" t="e">
        <f ca="1">RANK(R45,R:R,0)+COUNTIF($R$2:R45,R45)-1</f>
        <v>#N/A</v>
      </c>
    </row>
    <row r="46" spans="1:19" x14ac:dyDescent="0.3">
      <c r="A46" s="98" t="s">
        <v>389</v>
      </c>
      <c r="B46" s="98" t="s">
        <v>390</v>
      </c>
      <c r="C46" s="98" t="s">
        <v>263</v>
      </c>
      <c r="D46" s="98" t="s">
        <v>264</v>
      </c>
      <c r="E46" s="178">
        <v>629</v>
      </c>
      <c r="F46" s="178">
        <v>374</v>
      </c>
      <c r="G46" s="121">
        <v>0.93958663940429688</v>
      </c>
      <c r="H46" s="121">
        <v>0.9507154083251953</v>
      </c>
      <c r="I46" s="121">
        <v>0.9936406707763672</v>
      </c>
      <c r="J46" s="121">
        <v>1</v>
      </c>
      <c r="K46" s="121">
        <v>0.83942764282226567</v>
      </c>
      <c r="L46" s="121">
        <v>0.99523056030273438</v>
      </c>
      <c r="M46" s="121">
        <v>1</v>
      </c>
      <c r="N46" s="121">
        <v>0.99046104431152349</v>
      </c>
      <c r="O46" s="121">
        <v>0.82193962097167972</v>
      </c>
      <c r="P46" s="121">
        <v>1.4308426380157471E-2</v>
      </c>
      <c r="R46" s="146" t="e" cm="1">
        <f t="array" aca="1" ref="R46" ca="1">INDEX(INDIRECT(trust_dq_table),(ROW()-ROW(INDIRECT(trust_dq_cols))),MATCH(selected_dq_name_xc,INDIRECT(trust_dq_cols),0))</f>
        <v>#N/A</v>
      </c>
      <c r="S46" s="146" t="e">
        <f ca="1">RANK(R46,R:R,0)+COUNTIF($R$2:R46,R46)-1</f>
        <v>#N/A</v>
      </c>
    </row>
    <row r="47" spans="1:19" x14ac:dyDescent="0.3">
      <c r="A47" s="3" t="s">
        <v>391</v>
      </c>
      <c r="B47" s="3" t="s">
        <v>392</v>
      </c>
      <c r="C47" s="3" t="s">
        <v>320</v>
      </c>
      <c r="D47" s="3" t="s">
        <v>365</v>
      </c>
      <c r="E47" s="178">
        <v>258</v>
      </c>
      <c r="F47" s="178">
        <v>160</v>
      </c>
      <c r="G47" s="121">
        <v>0.92635658264160159</v>
      </c>
      <c r="H47" s="121">
        <v>0.89534881591796878</v>
      </c>
      <c r="I47" s="121">
        <v>0.67829460144042963</v>
      </c>
      <c r="J47" s="121">
        <v>0.97499999999999998</v>
      </c>
      <c r="K47" s="121">
        <v>0.99612403869628907</v>
      </c>
      <c r="L47" s="121">
        <v>0.98449615478515629</v>
      </c>
      <c r="M47" s="121">
        <v>1</v>
      </c>
      <c r="N47" s="121">
        <v>0.97286819458007812</v>
      </c>
      <c r="O47" s="121">
        <v>0.68992248535156253</v>
      </c>
      <c r="P47" s="121">
        <v>0.92248062133789066</v>
      </c>
      <c r="R47" s="4" t="e" cm="1">
        <f t="array" aca="1" ref="R47" ca="1">INDEX(INDIRECT(trust_dq_table),(ROW()-ROW(INDIRECT(trust_dq_cols))),MATCH(selected_dq_name_xc,INDIRECT(trust_dq_cols),0))</f>
        <v>#N/A</v>
      </c>
      <c r="S47" s="4" t="e">
        <f ca="1">RANK(R47,R:R,0)+COUNTIF($R$2:R47,R47)-1</f>
        <v>#N/A</v>
      </c>
    </row>
    <row r="48" spans="1:19" x14ac:dyDescent="0.3">
      <c r="A48" s="98" t="s">
        <v>393</v>
      </c>
      <c r="B48" s="98" t="s">
        <v>394</v>
      </c>
      <c r="C48" s="98" t="s">
        <v>265</v>
      </c>
      <c r="D48" s="98" t="s">
        <v>319</v>
      </c>
      <c r="E48" s="178">
        <v>350</v>
      </c>
      <c r="F48" s="178">
        <v>269</v>
      </c>
      <c r="G48" s="121">
        <v>0.8857142639160156</v>
      </c>
      <c r="H48" s="121">
        <v>0.86857139587402343</v>
      </c>
      <c r="I48" s="121">
        <v>0.83142860412597652</v>
      </c>
      <c r="J48" s="121">
        <v>0.97769515991210942</v>
      </c>
      <c r="K48" s="121">
        <v>0.97428573608398439</v>
      </c>
      <c r="L48" s="121">
        <v>0.98</v>
      </c>
      <c r="M48" s="121">
        <v>1</v>
      </c>
      <c r="N48" s="121">
        <v>1</v>
      </c>
      <c r="O48" s="121">
        <v>0.59428569793701169</v>
      </c>
      <c r="P48" s="121">
        <v>0.61714286804199214</v>
      </c>
      <c r="R48" s="146" t="e" cm="1">
        <f t="array" aca="1" ref="R48" ca="1">INDEX(INDIRECT(trust_dq_table),(ROW()-ROW(INDIRECT(trust_dq_cols))),MATCH(selected_dq_name_xc,INDIRECT(trust_dq_cols),0))</f>
        <v>#N/A</v>
      </c>
      <c r="S48" s="146" t="e">
        <f ca="1">RANK(R48,R:R,0)+COUNTIF($R$2:R48,R48)-1</f>
        <v>#N/A</v>
      </c>
    </row>
    <row r="49" spans="1:19" x14ac:dyDescent="0.3">
      <c r="A49" s="3" t="s">
        <v>395</v>
      </c>
      <c r="B49" s="3" t="s">
        <v>396</v>
      </c>
      <c r="C49" s="3" t="s">
        <v>265</v>
      </c>
      <c r="D49" s="3" t="s">
        <v>319</v>
      </c>
      <c r="E49" s="178">
        <v>359</v>
      </c>
      <c r="F49" s="178">
        <v>210</v>
      </c>
      <c r="G49" s="121">
        <v>0.68245124816894531</v>
      </c>
      <c r="H49" s="121">
        <v>0.77437324523925777</v>
      </c>
      <c r="I49" s="121">
        <v>0.64902503967285152</v>
      </c>
      <c r="J49" s="121">
        <v>0.91428573608398434</v>
      </c>
      <c r="K49" s="121">
        <v>0.99442893981933589</v>
      </c>
      <c r="L49" s="121">
        <v>0.80222839355468745</v>
      </c>
      <c r="M49" s="121">
        <v>1</v>
      </c>
      <c r="N49" s="121">
        <v>0.98885795593261716</v>
      </c>
      <c r="O49" s="121">
        <v>0.54596099853515623</v>
      </c>
      <c r="P49" s="121">
        <v>0.34540390014648437</v>
      </c>
      <c r="R49" s="4" t="e" cm="1">
        <f t="array" aca="1" ref="R49" ca="1">INDEX(INDIRECT(trust_dq_table),(ROW()-ROW(INDIRECT(trust_dq_cols))),MATCH(selected_dq_name_xc,INDIRECT(trust_dq_cols),0))</f>
        <v>#N/A</v>
      </c>
      <c r="S49" s="4" t="e">
        <f ca="1">RANK(R49,R:R,0)+COUNTIF($R$2:R49,R49)-1</f>
        <v>#N/A</v>
      </c>
    </row>
    <row r="50" spans="1:19" x14ac:dyDescent="0.3">
      <c r="A50" s="98" t="s">
        <v>397</v>
      </c>
      <c r="B50" s="98" t="s">
        <v>398</v>
      </c>
      <c r="C50" s="98" t="s">
        <v>311</v>
      </c>
      <c r="D50" s="98" t="s">
        <v>312</v>
      </c>
      <c r="E50" s="178">
        <v>199</v>
      </c>
      <c r="F50" s="178">
        <v>111</v>
      </c>
      <c r="G50" s="121">
        <v>0.56281406402587886</v>
      </c>
      <c r="H50" s="121">
        <v>0.73869346618652343</v>
      </c>
      <c r="I50" s="121">
        <v>0.36180904388427737</v>
      </c>
      <c r="J50" s="121">
        <v>0.59459461212158204</v>
      </c>
      <c r="K50" s="121">
        <v>0.96984924316406251</v>
      </c>
      <c r="L50" s="121">
        <v>0.89447235107421874</v>
      </c>
      <c r="M50" s="121">
        <v>1</v>
      </c>
      <c r="N50" s="121">
        <v>0.97989952087402343</v>
      </c>
      <c r="O50" s="121">
        <v>0.7437185668945312</v>
      </c>
      <c r="P50" s="121">
        <v>5.0251257419586179E-3</v>
      </c>
      <c r="R50" s="146" t="e" cm="1">
        <f t="array" aca="1" ref="R50" ca="1">INDEX(INDIRECT(trust_dq_table),(ROW()-ROW(INDIRECT(trust_dq_cols))),MATCH(selected_dq_name_xc,INDIRECT(trust_dq_cols),0))</f>
        <v>#N/A</v>
      </c>
      <c r="S50" s="146" t="e">
        <f ca="1">RANK(R50,R:R,0)+COUNTIF($R$2:R50,R50)-1</f>
        <v>#N/A</v>
      </c>
    </row>
    <row r="51" spans="1:19" x14ac:dyDescent="0.3">
      <c r="A51" s="3" t="s">
        <v>399</v>
      </c>
      <c r="B51" s="3" t="s">
        <v>400</v>
      </c>
      <c r="C51" s="3" t="s">
        <v>291</v>
      </c>
      <c r="D51" s="3" t="s">
        <v>328</v>
      </c>
      <c r="E51" s="178">
        <v>211</v>
      </c>
      <c r="F51" s="178">
        <v>143</v>
      </c>
      <c r="G51" s="121">
        <v>0.75355453491210933</v>
      </c>
      <c r="H51" s="121">
        <v>0.75355453491210933</v>
      </c>
      <c r="I51" s="121">
        <v>0.68246444702148434</v>
      </c>
      <c r="J51" s="121">
        <v>0.98601402282714845</v>
      </c>
      <c r="K51" s="121">
        <v>1</v>
      </c>
      <c r="L51" s="121">
        <v>0.84834121704101562</v>
      </c>
      <c r="M51" s="121">
        <v>1</v>
      </c>
      <c r="N51" s="121">
        <v>0.96682464599609375</v>
      </c>
      <c r="O51" s="121">
        <v>0.59715641021728516</v>
      </c>
      <c r="P51" s="121">
        <v>0.1990521240234375</v>
      </c>
      <c r="R51" s="4" t="e" cm="1">
        <f t="array" aca="1" ref="R51" ca="1">INDEX(INDIRECT(trust_dq_table),(ROW()-ROW(INDIRECT(trust_dq_cols))),MATCH(selected_dq_name_xc,INDIRECT(trust_dq_cols),0))</f>
        <v>#N/A</v>
      </c>
      <c r="S51" s="4" t="e">
        <f ca="1">RANK(R51,R:R,0)+COUNTIF($R$2:R51,R51)-1</f>
        <v>#N/A</v>
      </c>
    </row>
    <row r="52" spans="1:19" x14ac:dyDescent="0.3">
      <c r="A52" s="98" t="s">
        <v>401</v>
      </c>
      <c r="B52" s="98" t="s">
        <v>402</v>
      </c>
      <c r="C52" s="98" t="s">
        <v>282</v>
      </c>
      <c r="D52" s="98" t="s">
        <v>294</v>
      </c>
      <c r="E52" s="178">
        <v>565</v>
      </c>
      <c r="F52" s="178">
        <v>335</v>
      </c>
      <c r="G52" s="121">
        <v>0.74336280822753908</v>
      </c>
      <c r="H52" s="121">
        <v>0.86017700195312496</v>
      </c>
      <c r="I52" s="121">
        <v>0.78584068298339849</v>
      </c>
      <c r="J52" s="121">
        <v>0.97014923095703121</v>
      </c>
      <c r="K52" s="121">
        <v>1</v>
      </c>
      <c r="L52" s="121">
        <v>0.91327430725097658</v>
      </c>
      <c r="M52" s="121">
        <v>1</v>
      </c>
      <c r="N52" s="121">
        <v>0.98230087280273437</v>
      </c>
      <c r="O52" s="121">
        <v>0.63362831115722651</v>
      </c>
      <c r="P52" s="121">
        <v>0.15575221061706543</v>
      </c>
      <c r="R52" s="146" t="e" cm="1">
        <f t="array" aca="1" ref="R52" ca="1">INDEX(INDIRECT(trust_dq_table),(ROW()-ROW(INDIRECT(trust_dq_cols))),MATCH(selected_dq_name_xc,INDIRECT(trust_dq_cols),0))</f>
        <v>#N/A</v>
      </c>
      <c r="S52" s="146" t="e">
        <f ca="1">RANK(R52,R:R,0)+COUNTIF($R$2:R52,R52)-1</f>
        <v>#N/A</v>
      </c>
    </row>
    <row r="53" spans="1:19" x14ac:dyDescent="0.3">
      <c r="A53" s="3" t="s">
        <v>403</v>
      </c>
      <c r="B53" s="3" t="s">
        <v>404</v>
      </c>
      <c r="C53" s="3" t="s">
        <v>291</v>
      </c>
      <c r="D53" s="3" t="s">
        <v>328</v>
      </c>
      <c r="E53" s="178">
        <v>266</v>
      </c>
      <c r="F53" s="178">
        <v>120</v>
      </c>
      <c r="G53" s="121">
        <v>0.80451126098632808</v>
      </c>
      <c r="H53" s="121">
        <v>0.67669174194335935</v>
      </c>
      <c r="I53" s="121">
        <v>0.4661654281616211</v>
      </c>
      <c r="J53" s="121">
        <v>0.95833335876464842</v>
      </c>
      <c r="K53" s="121">
        <v>0.86466163635253901</v>
      </c>
      <c r="L53" s="121">
        <v>0.81578948974609378</v>
      </c>
      <c r="M53" s="121">
        <v>1</v>
      </c>
      <c r="N53" s="121">
        <v>0.96240600585937497</v>
      </c>
      <c r="O53" s="121">
        <v>0.5338345718383789</v>
      </c>
      <c r="P53" s="121">
        <v>0.29699247360229492</v>
      </c>
      <c r="R53" s="4" t="e" cm="1">
        <f t="array" aca="1" ref="R53" ca="1">INDEX(INDIRECT(trust_dq_table),(ROW()-ROW(INDIRECT(trust_dq_cols))),MATCH(selected_dq_name_xc,INDIRECT(trust_dq_cols),0))</f>
        <v>#N/A</v>
      </c>
      <c r="S53" s="4" t="e">
        <f ca="1">RANK(R53,R:R,0)+COUNTIF($R$2:R53,R53)-1</f>
        <v>#N/A</v>
      </c>
    </row>
    <row r="54" spans="1:19" x14ac:dyDescent="0.3">
      <c r="A54" s="98" t="s">
        <v>405</v>
      </c>
      <c r="B54" s="98" t="s">
        <v>406</v>
      </c>
      <c r="C54" s="98" t="s">
        <v>279</v>
      </c>
      <c r="D54" s="98" t="s">
        <v>285</v>
      </c>
      <c r="E54" s="178">
        <v>625</v>
      </c>
      <c r="F54" s="178">
        <v>415</v>
      </c>
      <c r="G54" s="121">
        <v>0.91839996337890628</v>
      </c>
      <c r="H54" s="121">
        <v>0.69599998474121094</v>
      </c>
      <c r="I54" s="121">
        <v>0.64480003356933591</v>
      </c>
      <c r="J54" s="121">
        <v>0.95180725097656249</v>
      </c>
      <c r="K54" s="121">
        <v>0.9680000305175781</v>
      </c>
      <c r="L54" s="121">
        <v>0.98080001831054686</v>
      </c>
      <c r="M54" s="121">
        <v>1</v>
      </c>
      <c r="N54" s="121">
        <v>0.97440002441406248</v>
      </c>
      <c r="O54" s="121">
        <v>0.60799999237060542</v>
      </c>
      <c r="P54" s="121">
        <v>0.37759998321533206</v>
      </c>
      <c r="R54" s="146" t="e" cm="1">
        <f t="array" aca="1" ref="R54" ca="1">INDEX(INDIRECT(trust_dq_table),(ROW()-ROW(INDIRECT(trust_dq_cols))),MATCH(selected_dq_name_xc,INDIRECT(trust_dq_cols),0))</f>
        <v>#N/A</v>
      </c>
      <c r="S54" s="146" t="e">
        <f ca="1">RANK(R54,R:R,0)+COUNTIF($R$2:R54,R54)-1</f>
        <v>#N/A</v>
      </c>
    </row>
    <row r="55" spans="1:19" x14ac:dyDescent="0.3">
      <c r="A55" s="3" t="s">
        <v>407</v>
      </c>
      <c r="B55" s="3" t="s">
        <v>408</v>
      </c>
      <c r="C55" s="3" t="s">
        <v>265</v>
      </c>
      <c r="D55" s="3" t="s">
        <v>319</v>
      </c>
      <c r="E55" s="178">
        <v>148</v>
      </c>
      <c r="F55" s="178">
        <v>107</v>
      </c>
      <c r="G55" s="121">
        <v>0.92567565917968753</v>
      </c>
      <c r="H55" s="121">
        <v>0.92567565917968753</v>
      </c>
      <c r="I55" s="121">
        <v>0.75675674438476559</v>
      </c>
      <c r="J55" s="121">
        <v>1</v>
      </c>
      <c r="K55" s="121">
        <v>0.99324325561523441</v>
      </c>
      <c r="L55" s="121">
        <v>0.93243240356445312</v>
      </c>
      <c r="M55" s="121">
        <v>1</v>
      </c>
      <c r="N55" s="121">
        <v>0.96621620178222656</v>
      </c>
      <c r="O55" s="121">
        <v>0.65540542602539065</v>
      </c>
      <c r="P55" s="121">
        <v>0.83108108520507817</v>
      </c>
      <c r="R55" s="4" t="e" cm="1">
        <f t="array" aca="1" ref="R55" ca="1">INDEX(INDIRECT(trust_dq_table),(ROW()-ROW(INDIRECT(trust_dq_cols))),MATCH(selected_dq_name_xc,INDIRECT(trust_dq_cols),0))</f>
        <v>#N/A</v>
      </c>
      <c r="S55" s="4" t="e">
        <f ca="1">RANK(R55,R:R,0)+COUNTIF($R$2:R55,R55)-1</f>
        <v>#N/A</v>
      </c>
    </row>
    <row r="56" spans="1:19" x14ac:dyDescent="0.3">
      <c r="A56" s="98" t="s">
        <v>409</v>
      </c>
      <c r="B56" s="98" t="s">
        <v>410</v>
      </c>
      <c r="C56" s="98" t="s">
        <v>263</v>
      </c>
      <c r="D56" s="98" t="s">
        <v>264</v>
      </c>
      <c r="E56" s="178">
        <v>439</v>
      </c>
      <c r="F56" s="178">
        <v>281</v>
      </c>
      <c r="G56" s="121">
        <v>0.98633255004882814</v>
      </c>
      <c r="H56" s="121">
        <v>0.96355354309082031</v>
      </c>
      <c r="I56" s="121">
        <v>0.74487472534179688</v>
      </c>
      <c r="J56" s="121">
        <v>1</v>
      </c>
      <c r="K56" s="121">
        <v>0.98177673339843752</v>
      </c>
      <c r="L56" s="121">
        <v>0.97038726806640629</v>
      </c>
      <c r="M56" s="121">
        <v>1</v>
      </c>
      <c r="N56" s="121">
        <v>0.98861045837402339</v>
      </c>
      <c r="O56" s="121">
        <v>0.75854217529296875</v>
      </c>
      <c r="P56" s="121">
        <v>0.53986331939697263</v>
      </c>
      <c r="R56" s="146" t="e" cm="1">
        <f t="array" aca="1" ref="R56" ca="1">INDEX(INDIRECT(trust_dq_table),(ROW()-ROW(INDIRECT(trust_dq_cols))),MATCH(selected_dq_name_xc,INDIRECT(trust_dq_cols),0))</f>
        <v>#N/A</v>
      </c>
      <c r="S56" s="146" t="e">
        <f ca="1">RANK(R56,R:R,0)+COUNTIF($R$2:R56,R56)-1</f>
        <v>#N/A</v>
      </c>
    </row>
    <row r="57" spans="1:19" x14ac:dyDescent="0.3">
      <c r="A57" s="3" t="s">
        <v>411</v>
      </c>
      <c r="B57" s="3" t="s">
        <v>412</v>
      </c>
      <c r="C57" s="3" t="s">
        <v>279</v>
      </c>
      <c r="D57" s="3" t="s">
        <v>285</v>
      </c>
      <c r="E57" s="178">
        <v>136</v>
      </c>
      <c r="F57" s="178">
        <v>99</v>
      </c>
      <c r="G57" s="121">
        <v>0.80147056579589848</v>
      </c>
      <c r="H57" s="121">
        <v>0.96323532104492182</v>
      </c>
      <c r="I57" s="121">
        <v>0.75735290527343746</v>
      </c>
      <c r="J57" s="121">
        <v>1</v>
      </c>
      <c r="K57" s="121">
        <v>0.99264709472656254</v>
      </c>
      <c r="L57" s="121">
        <v>0.93382354736328121</v>
      </c>
      <c r="M57" s="121">
        <v>1</v>
      </c>
      <c r="N57" s="121">
        <v>0.96323532104492182</v>
      </c>
      <c r="O57" s="121">
        <v>0.7352941131591797</v>
      </c>
      <c r="P57" s="121">
        <v>0.16176469802856444</v>
      </c>
      <c r="R57" s="4" t="e" cm="1">
        <f t="array" aca="1" ref="R57" ca="1">INDEX(INDIRECT(trust_dq_table),(ROW()-ROW(INDIRECT(trust_dq_cols))),MATCH(selected_dq_name_xc,INDIRECT(trust_dq_cols),0))</f>
        <v>#N/A</v>
      </c>
      <c r="S57" s="4" t="e">
        <f ca="1">RANK(R57,R:R,0)+COUNTIF($R$2:R57,R57)-1</f>
        <v>#N/A</v>
      </c>
    </row>
    <row r="58" spans="1:19" x14ac:dyDescent="0.3">
      <c r="A58" s="98" t="s">
        <v>413</v>
      </c>
      <c r="B58" s="98" t="s">
        <v>414</v>
      </c>
      <c r="C58" s="98" t="s">
        <v>275</v>
      </c>
      <c r="D58" s="98" t="s">
        <v>307</v>
      </c>
      <c r="E58" s="178">
        <v>377</v>
      </c>
      <c r="F58" s="178">
        <v>238</v>
      </c>
      <c r="G58" s="121">
        <v>0.95490715026855466</v>
      </c>
      <c r="H58" s="121">
        <v>0.88063659667968752</v>
      </c>
      <c r="I58" s="121">
        <v>0.62599468231201172</v>
      </c>
      <c r="J58" s="121">
        <v>0.99159660339355471</v>
      </c>
      <c r="K58" s="121">
        <v>0.98408485412597657</v>
      </c>
      <c r="L58" s="121">
        <v>0.9893899536132813</v>
      </c>
      <c r="M58" s="121">
        <v>1</v>
      </c>
      <c r="N58" s="121">
        <v>0.9814323425292969</v>
      </c>
      <c r="O58" s="121">
        <v>0.44031829833984376</v>
      </c>
      <c r="P58" s="121">
        <v>0.45888595581054686</v>
      </c>
      <c r="R58" s="146" t="e" cm="1">
        <f t="array" aca="1" ref="R58" ca="1">INDEX(INDIRECT(trust_dq_table),(ROW()-ROW(INDIRECT(trust_dq_cols))),MATCH(selected_dq_name_xc,INDIRECT(trust_dq_cols),0))</f>
        <v>#N/A</v>
      </c>
      <c r="S58" s="146" t="e">
        <f ca="1">RANK(R58,R:R,0)+COUNTIF($R$2:R58,R58)-1</f>
        <v>#N/A</v>
      </c>
    </row>
    <row r="59" spans="1:19" x14ac:dyDescent="0.3">
      <c r="A59" s="3" t="s">
        <v>415</v>
      </c>
      <c r="B59" s="3" t="s">
        <v>416</v>
      </c>
      <c r="C59" s="3" t="s">
        <v>316</v>
      </c>
      <c r="D59" s="3" t="s">
        <v>360</v>
      </c>
      <c r="E59" s="178">
        <v>293</v>
      </c>
      <c r="F59" s="178">
        <v>148</v>
      </c>
      <c r="G59" s="121">
        <v>0.83276451110839844</v>
      </c>
      <c r="H59" s="121">
        <v>0.8464163970947266</v>
      </c>
      <c r="I59" s="121">
        <v>0.51877132415771487</v>
      </c>
      <c r="J59" s="121">
        <v>0.97297294616699215</v>
      </c>
      <c r="K59" s="121">
        <v>0.97269622802734379</v>
      </c>
      <c r="L59" s="121">
        <v>0.76450515747070313</v>
      </c>
      <c r="M59" s="121">
        <v>1</v>
      </c>
      <c r="N59" s="121">
        <v>0.94197952270507812</v>
      </c>
      <c r="O59" s="121">
        <v>0.56996585845947267</v>
      </c>
      <c r="P59" s="121">
        <v>0.30034130096435546</v>
      </c>
      <c r="R59" s="4" t="e" cm="1">
        <f t="array" aca="1" ref="R59" ca="1">INDEX(INDIRECT(trust_dq_table),(ROW()-ROW(INDIRECT(trust_dq_cols))),MATCH(selected_dq_name_xc,INDIRECT(trust_dq_cols),0))</f>
        <v>#N/A</v>
      </c>
      <c r="S59" s="4" t="e">
        <f ca="1">RANK(R59,R:R,0)+COUNTIF($R$2:R59,R59)-1</f>
        <v>#N/A</v>
      </c>
    </row>
    <row r="60" spans="1:19" x14ac:dyDescent="0.3">
      <c r="A60" s="98" t="s">
        <v>417</v>
      </c>
      <c r="B60" s="98" t="s">
        <v>418</v>
      </c>
      <c r="C60" s="98" t="s">
        <v>304</v>
      </c>
      <c r="D60" s="98" t="s">
        <v>323</v>
      </c>
      <c r="E60" s="178">
        <v>232</v>
      </c>
      <c r="F60" s="178">
        <v>140</v>
      </c>
      <c r="G60" s="121">
        <v>0.90086204528808589</v>
      </c>
      <c r="H60" s="121">
        <v>0.72844825744628905</v>
      </c>
      <c r="I60" s="121">
        <v>0.84482757568359379</v>
      </c>
      <c r="J60" s="121">
        <v>0.99285713195800784</v>
      </c>
      <c r="K60" s="121">
        <v>0.96120689392089842</v>
      </c>
      <c r="L60" s="121">
        <v>0.96551727294921874</v>
      </c>
      <c r="M60" s="121">
        <v>1</v>
      </c>
      <c r="N60" s="121">
        <v>0.97413795471191411</v>
      </c>
      <c r="O60" s="121">
        <v>0.32758621215820311</v>
      </c>
      <c r="P60" s="121">
        <v>0.26293104171752929</v>
      </c>
      <c r="R60" s="146" t="e" cm="1">
        <f t="array" aca="1" ref="R60" ca="1">INDEX(INDIRECT(trust_dq_table),(ROW()-ROW(INDIRECT(trust_dq_cols))),MATCH(selected_dq_name_xc,INDIRECT(trust_dq_cols),0))</f>
        <v>#N/A</v>
      </c>
      <c r="S60" s="146" t="e">
        <f ca="1">RANK(R60,R:R,0)+COUNTIF($R$2:R60,R60)-1</f>
        <v>#N/A</v>
      </c>
    </row>
    <row r="61" spans="1:19" x14ac:dyDescent="0.3">
      <c r="A61" s="3" t="s">
        <v>419</v>
      </c>
      <c r="B61" s="3" t="s">
        <v>420</v>
      </c>
      <c r="C61" s="3" t="s">
        <v>297</v>
      </c>
      <c r="D61" s="3" t="s">
        <v>421</v>
      </c>
      <c r="E61" s="178">
        <v>126</v>
      </c>
      <c r="F61" s="178">
        <v>60</v>
      </c>
      <c r="G61" s="121">
        <v>0.85714286804199213</v>
      </c>
      <c r="H61" s="121">
        <v>0.44444442749023438</v>
      </c>
      <c r="I61" s="121">
        <v>0.84126983642578124</v>
      </c>
      <c r="J61" s="121">
        <v>0.98333335876464845</v>
      </c>
      <c r="K61" s="121">
        <v>0.97619049072265629</v>
      </c>
      <c r="L61" s="121">
        <v>0.5158730316162109</v>
      </c>
      <c r="M61" s="121">
        <v>1</v>
      </c>
      <c r="N61" s="121">
        <v>0.9841269683837891</v>
      </c>
      <c r="O61" s="121">
        <v>0.73015876770019528</v>
      </c>
      <c r="P61" s="121">
        <v>7.1428570747375492E-2</v>
      </c>
      <c r="R61" s="4" t="e" cm="1">
        <f t="array" aca="1" ref="R61" ca="1">INDEX(INDIRECT(trust_dq_table),(ROW()-ROW(INDIRECT(trust_dq_cols))),MATCH(selected_dq_name_xc,INDIRECT(trust_dq_cols),0))</f>
        <v>#N/A</v>
      </c>
      <c r="S61" s="4" t="e">
        <f ca="1">RANK(R61,R:R,0)+COUNTIF($R$2:R61,R61)-1</f>
        <v>#N/A</v>
      </c>
    </row>
    <row r="62" spans="1:19" x14ac:dyDescent="0.3">
      <c r="A62" s="98" t="s">
        <v>422</v>
      </c>
      <c r="B62" s="98" t="s">
        <v>423</v>
      </c>
      <c r="C62" s="98" t="s">
        <v>304</v>
      </c>
      <c r="D62" s="98" t="s">
        <v>323</v>
      </c>
      <c r="E62" s="178">
        <v>286</v>
      </c>
      <c r="F62" s="178">
        <v>182</v>
      </c>
      <c r="G62" s="121">
        <v>0.968531494140625</v>
      </c>
      <c r="H62" s="121">
        <v>0.97552444458007814</v>
      </c>
      <c r="I62" s="121">
        <v>0.72377624511718752</v>
      </c>
      <c r="J62" s="121">
        <v>0.98901100158691402</v>
      </c>
      <c r="K62" s="121">
        <v>0.99650352478027349</v>
      </c>
      <c r="L62" s="121">
        <v>0.96503494262695311</v>
      </c>
      <c r="M62" s="121">
        <v>1</v>
      </c>
      <c r="N62" s="121">
        <v>0.97552444458007814</v>
      </c>
      <c r="O62" s="121">
        <v>0.73426574707031245</v>
      </c>
      <c r="P62" s="121">
        <v>0.86713287353515622</v>
      </c>
      <c r="R62" s="146" t="e" cm="1">
        <f t="array" aca="1" ref="R62" ca="1">INDEX(INDIRECT(trust_dq_table),(ROW()-ROW(INDIRECT(trust_dq_cols))),MATCH(selected_dq_name_xc,INDIRECT(trust_dq_cols),0))</f>
        <v>#N/A</v>
      </c>
      <c r="S62" s="146" t="e">
        <f ca="1">RANK(R62,R:R,0)+COUNTIF($R$2:R62,R62)-1</f>
        <v>#N/A</v>
      </c>
    </row>
    <row r="63" spans="1:19" x14ac:dyDescent="0.3">
      <c r="A63" s="3" t="s">
        <v>424</v>
      </c>
      <c r="B63" s="3" t="s">
        <v>425</v>
      </c>
      <c r="C63" s="3" t="s">
        <v>275</v>
      </c>
      <c r="D63" s="3" t="s">
        <v>307</v>
      </c>
      <c r="E63" s="178">
        <v>185</v>
      </c>
      <c r="F63" s="178">
        <v>84</v>
      </c>
      <c r="G63" s="121">
        <v>0.82162162780761716</v>
      </c>
      <c r="H63" s="121">
        <v>0.78918922424316407</v>
      </c>
      <c r="I63" s="121">
        <v>0.47027027130126953</v>
      </c>
      <c r="J63" s="121">
        <v>0.92857139587402349</v>
      </c>
      <c r="K63" s="121">
        <v>0.96756759643554691</v>
      </c>
      <c r="L63" s="121">
        <v>0.90270271301269533</v>
      </c>
      <c r="M63" s="121">
        <v>1</v>
      </c>
      <c r="N63" s="121">
        <v>0.99459457397460938</v>
      </c>
      <c r="O63" s="121">
        <v>0.57297298431396482</v>
      </c>
      <c r="P63" s="121">
        <v>0.78378379821777344</v>
      </c>
      <c r="R63" s="4" t="e" cm="1">
        <f t="array" aca="1" ref="R63" ca="1">INDEX(INDIRECT(trust_dq_table),(ROW()-ROW(INDIRECT(trust_dq_cols))),MATCH(selected_dq_name_xc,INDIRECT(trust_dq_cols),0))</f>
        <v>#N/A</v>
      </c>
      <c r="S63" s="4" t="e">
        <f ca="1">RANK(R63,R:R,0)+COUNTIF($R$2:R63,R63)-1</f>
        <v>#N/A</v>
      </c>
    </row>
    <row r="64" spans="1:19" x14ac:dyDescent="0.3">
      <c r="A64" s="98" t="s">
        <v>426</v>
      </c>
      <c r="B64" s="98" t="s">
        <v>427</v>
      </c>
      <c r="C64" s="98" t="s">
        <v>270</v>
      </c>
      <c r="D64" s="98" t="s">
        <v>315</v>
      </c>
      <c r="E64" s="178">
        <v>215</v>
      </c>
      <c r="F64" s="178">
        <v>146</v>
      </c>
      <c r="G64" s="121">
        <v>0.98604652404785154</v>
      </c>
      <c r="H64" s="121">
        <v>0.94418601989746098</v>
      </c>
      <c r="I64" s="121">
        <v>0.68837211608886717</v>
      </c>
      <c r="J64" s="121">
        <v>1</v>
      </c>
      <c r="K64" s="121">
        <v>0.99069770812988278</v>
      </c>
      <c r="L64" s="121">
        <v>0.99069770812988278</v>
      </c>
      <c r="M64" s="121">
        <v>1</v>
      </c>
      <c r="N64" s="121">
        <v>0.99069770812988278</v>
      </c>
      <c r="O64" s="121">
        <v>0.66511627197265621</v>
      </c>
      <c r="P64" s="121">
        <v>0.96744186401367183</v>
      </c>
      <c r="R64" s="146" t="e" cm="1">
        <f t="array" aca="1" ref="R64" ca="1">INDEX(INDIRECT(trust_dq_table),(ROW()-ROW(INDIRECT(trust_dq_cols))),MATCH(selected_dq_name_xc,INDIRECT(trust_dq_cols),0))</f>
        <v>#N/A</v>
      </c>
      <c r="S64" s="146" t="e">
        <f ca="1">RANK(R64,R:R,0)+COUNTIF($R$2:R64,R64)-1</f>
        <v>#N/A</v>
      </c>
    </row>
    <row r="65" spans="1:19" x14ac:dyDescent="0.3">
      <c r="A65" s="3" t="s">
        <v>428</v>
      </c>
      <c r="B65" s="3" t="s">
        <v>429</v>
      </c>
      <c r="C65" s="3" t="s">
        <v>286</v>
      </c>
      <c r="D65" s="3" t="s">
        <v>370</v>
      </c>
      <c r="E65" s="178">
        <v>337</v>
      </c>
      <c r="F65" s="178">
        <v>185</v>
      </c>
      <c r="G65" s="121">
        <v>0.96142433166503904</v>
      </c>
      <c r="H65" s="121">
        <v>0.90801185607910151</v>
      </c>
      <c r="I65" s="121">
        <v>0.62017803192138676</v>
      </c>
      <c r="J65" s="121">
        <v>1</v>
      </c>
      <c r="K65" s="121">
        <v>0.96735908508300783</v>
      </c>
      <c r="L65" s="121">
        <v>0.95548957824707026</v>
      </c>
      <c r="M65" s="121">
        <v>1</v>
      </c>
      <c r="N65" s="121">
        <v>0.99703262329101561</v>
      </c>
      <c r="O65" s="121">
        <v>0.70326408386230466</v>
      </c>
      <c r="P65" s="121">
        <v>0.82789314270019532</v>
      </c>
      <c r="R65" s="4" t="e" cm="1">
        <f t="array" aca="1" ref="R65" ca="1">INDEX(INDIRECT(trust_dq_table),(ROW()-ROW(INDIRECT(trust_dq_cols))),MATCH(selected_dq_name_xc,INDIRECT(trust_dq_cols),0))</f>
        <v>#N/A</v>
      </c>
      <c r="S65" s="4" t="e">
        <f ca="1">RANK(R65,R:R,0)+COUNTIF($R$2:R65,R65)-1</f>
        <v>#N/A</v>
      </c>
    </row>
    <row r="66" spans="1:19" x14ac:dyDescent="0.3">
      <c r="A66" s="98" t="s">
        <v>430</v>
      </c>
      <c r="B66" s="98" t="s">
        <v>431</v>
      </c>
      <c r="C66" s="98" t="s">
        <v>304</v>
      </c>
      <c r="D66" s="98" t="s">
        <v>323</v>
      </c>
      <c r="E66" s="178">
        <v>346</v>
      </c>
      <c r="F66" s="178">
        <v>213</v>
      </c>
      <c r="G66" s="121">
        <v>0.78323699951171877</v>
      </c>
      <c r="H66" s="121">
        <v>0.58381504058837885</v>
      </c>
      <c r="I66" s="121">
        <v>0.63294795989990238</v>
      </c>
      <c r="J66" s="121">
        <v>0.99530517578125</v>
      </c>
      <c r="K66" s="121">
        <v>0.98554916381835933</v>
      </c>
      <c r="L66" s="121">
        <v>0.95086708068847658</v>
      </c>
      <c r="M66" s="121">
        <v>1</v>
      </c>
      <c r="N66" s="121">
        <v>0.95664741516113283</v>
      </c>
      <c r="O66" s="121">
        <v>0.30057804107666014</v>
      </c>
      <c r="P66" s="121">
        <v>0.45953758239746095</v>
      </c>
      <c r="R66" s="146" t="e" cm="1">
        <f t="array" aca="1" ref="R66" ca="1">INDEX(INDIRECT(trust_dq_table),(ROW()-ROW(INDIRECT(trust_dq_cols))),MATCH(selected_dq_name_xc,INDIRECT(trust_dq_cols),0))</f>
        <v>#N/A</v>
      </c>
      <c r="S66" s="146" t="e">
        <f ca="1">RANK(R66,R:R,0)+COUNTIF($R$2:R66,R66)-1</f>
        <v>#N/A</v>
      </c>
    </row>
    <row r="67" spans="1:19" x14ac:dyDescent="0.3">
      <c r="A67" s="3" t="s">
        <v>432</v>
      </c>
      <c r="B67" s="3" t="s">
        <v>433</v>
      </c>
      <c r="C67" s="3" t="s">
        <v>270</v>
      </c>
      <c r="D67" s="3" t="s">
        <v>315</v>
      </c>
      <c r="E67" s="178">
        <v>552</v>
      </c>
      <c r="F67" s="178">
        <v>393</v>
      </c>
      <c r="G67" s="121">
        <v>0.88949272155761716</v>
      </c>
      <c r="H67" s="121">
        <v>0.92572463989257814</v>
      </c>
      <c r="I67" s="121">
        <v>0.75</v>
      </c>
      <c r="J67" s="121">
        <v>0.99236640930175779</v>
      </c>
      <c r="K67" s="121">
        <v>0.99637680053710942</v>
      </c>
      <c r="L67" s="121">
        <v>0.97463768005371099</v>
      </c>
      <c r="M67" s="121">
        <v>1</v>
      </c>
      <c r="N67" s="121">
        <v>0.93659423828124999</v>
      </c>
      <c r="O67" s="121">
        <v>0.74094200134277344</v>
      </c>
      <c r="P67" s="121">
        <v>0.79710144042968745</v>
      </c>
      <c r="R67" s="4" t="e" cm="1">
        <f t="array" aca="1" ref="R67" ca="1">INDEX(INDIRECT(trust_dq_table),(ROW()-ROW(INDIRECT(trust_dq_cols))),MATCH(selected_dq_name_xc,INDIRECT(trust_dq_cols),0))</f>
        <v>#N/A</v>
      </c>
      <c r="S67" s="4" t="e">
        <f ca="1">RANK(R67,R:R,0)+COUNTIF($R$2:R67,R67)-1</f>
        <v>#N/A</v>
      </c>
    </row>
    <row r="68" spans="1:19" x14ac:dyDescent="0.3">
      <c r="A68" s="98" t="s">
        <v>434</v>
      </c>
      <c r="B68" s="98" t="s">
        <v>435</v>
      </c>
      <c r="C68" s="98" t="s">
        <v>300</v>
      </c>
      <c r="D68" s="98" t="s">
        <v>301</v>
      </c>
      <c r="E68" s="178">
        <v>399</v>
      </c>
      <c r="F68" s="178">
        <v>278</v>
      </c>
      <c r="G68" s="121">
        <v>0.90726814270019529</v>
      </c>
      <c r="H68" s="121">
        <v>0.90726814270019529</v>
      </c>
      <c r="I68" s="121">
        <v>0.87468673706054689</v>
      </c>
      <c r="J68" s="121">
        <v>0.99280578613281245</v>
      </c>
      <c r="K68" s="121">
        <v>0.99248123168945313</v>
      </c>
      <c r="L68" s="121">
        <v>0.97493736267089848</v>
      </c>
      <c r="M68" s="121">
        <v>1</v>
      </c>
      <c r="N68" s="121">
        <v>0.9298245239257813</v>
      </c>
      <c r="O68" s="121">
        <v>0.74436088562011715</v>
      </c>
      <c r="P68" s="121">
        <v>0.44110275268554688</v>
      </c>
      <c r="R68" s="146" t="e" cm="1">
        <f t="array" aca="1" ref="R68" ca="1">INDEX(INDIRECT(trust_dq_table),(ROW()-ROW(INDIRECT(trust_dq_cols))),MATCH(selected_dq_name_xc,INDIRECT(trust_dq_cols),0))</f>
        <v>#N/A</v>
      </c>
      <c r="S68" s="146" t="e">
        <f ca="1">RANK(R68,R:R,0)+COUNTIF($R$2:R68,R68)-1</f>
        <v>#N/A</v>
      </c>
    </row>
    <row r="69" spans="1:19" x14ac:dyDescent="0.3">
      <c r="A69" s="3" t="s">
        <v>436</v>
      </c>
      <c r="B69" s="3" t="s">
        <v>437</v>
      </c>
      <c r="C69" s="3" t="s">
        <v>275</v>
      </c>
      <c r="D69" s="3" t="s">
        <v>307</v>
      </c>
      <c r="E69" s="178">
        <v>268</v>
      </c>
      <c r="F69" s="178">
        <v>165</v>
      </c>
      <c r="G69" s="121">
        <v>0.7350746154785156</v>
      </c>
      <c r="H69" s="121">
        <v>0.78358207702636717</v>
      </c>
      <c r="I69" s="121">
        <v>0.64925376892089848</v>
      </c>
      <c r="J69" s="121">
        <v>0.83030303955078122</v>
      </c>
      <c r="K69" s="121">
        <v>1</v>
      </c>
      <c r="L69" s="121">
        <v>0.69402984619140629</v>
      </c>
      <c r="M69" s="121">
        <v>1</v>
      </c>
      <c r="N69" s="121">
        <v>0.99253730773925786</v>
      </c>
      <c r="O69" s="121">
        <v>0.56343284606933597</v>
      </c>
      <c r="P69" s="121">
        <v>0.60447761535644529</v>
      </c>
      <c r="R69" s="4" t="e" cm="1">
        <f t="array" aca="1" ref="R69" ca="1">INDEX(INDIRECT(trust_dq_table),(ROW()-ROW(INDIRECT(trust_dq_cols))),MATCH(selected_dq_name_xc,INDIRECT(trust_dq_cols),0))</f>
        <v>#N/A</v>
      </c>
      <c r="S69" s="4" t="e">
        <f ca="1">RANK(R69,R:R,0)+COUNTIF($R$2:R69,R69)-1</f>
        <v>#N/A</v>
      </c>
    </row>
    <row r="70" spans="1:19" x14ac:dyDescent="0.3">
      <c r="A70" s="98" t="s">
        <v>438</v>
      </c>
      <c r="B70" s="98" t="s">
        <v>439</v>
      </c>
      <c r="C70" s="98" t="s">
        <v>308</v>
      </c>
      <c r="D70" s="98" t="s">
        <v>440</v>
      </c>
      <c r="E70" s="178">
        <v>406</v>
      </c>
      <c r="F70" s="178">
        <v>228</v>
      </c>
      <c r="G70" s="121">
        <v>0.83497535705566406</v>
      </c>
      <c r="H70" s="121">
        <v>0.90147781372070313</v>
      </c>
      <c r="I70" s="121">
        <v>0.59852218627929688</v>
      </c>
      <c r="J70" s="121">
        <v>0.99561401367187496</v>
      </c>
      <c r="K70" s="121">
        <v>0.96059112548828129</v>
      </c>
      <c r="L70" s="121">
        <v>0.96798027038574219</v>
      </c>
      <c r="M70" s="121">
        <v>1</v>
      </c>
      <c r="N70" s="121">
        <v>0.99014778137207027</v>
      </c>
      <c r="O70" s="121">
        <v>0.49753696441650391</v>
      </c>
      <c r="P70" s="121">
        <v>0.35960590362548828</v>
      </c>
      <c r="R70" s="146" t="e" cm="1">
        <f t="array" aca="1" ref="R70" ca="1">INDEX(INDIRECT(trust_dq_table),(ROW()-ROW(INDIRECT(trust_dq_cols))),MATCH(selected_dq_name_xc,INDIRECT(trust_dq_cols),0))</f>
        <v>#N/A</v>
      </c>
      <c r="S70" s="146" t="e">
        <f ca="1">RANK(R70,R:R,0)+COUNTIF($R$2:R70,R70)-1</f>
        <v>#N/A</v>
      </c>
    </row>
    <row r="71" spans="1:19" x14ac:dyDescent="0.3">
      <c r="A71" s="3" t="s">
        <v>441</v>
      </c>
      <c r="B71" s="3" t="s">
        <v>442</v>
      </c>
      <c r="C71" s="3" t="s">
        <v>331</v>
      </c>
      <c r="D71" s="3" t="s">
        <v>334</v>
      </c>
      <c r="E71" s="178">
        <v>343</v>
      </c>
      <c r="F71" s="178">
        <v>215</v>
      </c>
      <c r="G71" s="121">
        <v>0.88629737854003909</v>
      </c>
      <c r="H71" s="121">
        <v>0.97084548950195315</v>
      </c>
      <c r="I71" s="121">
        <v>0.64139938354492188</v>
      </c>
      <c r="J71" s="121">
        <v>0.97674415588378904</v>
      </c>
      <c r="K71" s="121">
        <v>0.87172012329101567</v>
      </c>
      <c r="L71" s="121">
        <v>0.95043731689453126</v>
      </c>
      <c r="M71" s="121">
        <v>1</v>
      </c>
      <c r="N71" s="121">
        <v>0.88921279907226558</v>
      </c>
      <c r="O71" s="121">
        <v>0.72011665344238285</v>
      </c>
      <c r="P71" s="121">
        <v>0.86005828857421873</v>
      </c>
      <c r="R71" s="4" t="e" cm="1">
        <f t="array" aca="1" ref="R71" ca="1">INDEX(INDIRECT(trust_dq_table),(ROW()-ROW(INDIRECT(trust_dq_cols))),MATCH(selected_dq_name_xc,INDIRECT(trust_dq_cols),0))</f>
        <v>#N/A</v>
      </c>
      <c r="S71" s="4" t="e">
        <f ca="1">RANK(R71,R:R,0)+COUNTIF($R$2:R71,R71)-1</f>
        <v>#N/A</v>
      </c>
    </row>
    <row r="72" spans="1:19" x14ac:dyDescent="0.3">
      <c r="A72" s="98" t="s">
        <v>443</v>
      </c>
      <c r="B72" s="98" t="s">
        <v>444</v>
      </c>
      <c r="C72" s="98" t="s">
        <v>300</v>
      </c>
      <c r="D72" s="98" t="s">
        <v>301</v>
      </c>
      <c r="E72" s="178">
        <v>228</v>
      </c>
      <c r="F72" s="178">
        <v>139</v>
      </c>
      <c r="G72" s="121">
        <v>0.92543861389160154</v>
      </c>
      <c r="H72" s="121">
        <v>0.91666664123535158</v>
      </c>
      <c r="I72" s="121">
        <v>0.97807014465332032</v>
      </c>
      <c r="J72" s="121">
        <v>1</v>
      </c>
      <c r="K72" s="121">
        <v>0.96491226196289059</v>
      </c>
      <c r="L72" s="121">
        <v>0.98245613098144535</v>
      </c>
      <c r="M72" s="121">
        <v>1</v>
      </c>
      <c r="N72" s="121">
        <v>0.96929824829101563</v>
      </c>
      <c r="O72" s="121">
        <v>0.73684211730957028</v>
      </c>
      <c r="P72" s="121">
        <v>0.88596488952636721</v>
      </c>
      <c r="R72" s="146" t="e" cm="1">
        <f t="array" aca="1" ref="R72" ca="1">INDEX(INDIRECT(trust_dq_table),(ROW()-ROW(INDIRECT(trust_dq_cols))),MATCH(selected_dq_name_xc,INDIRECT(trust_dq_cols),0))</f>
        <v>#N/A</v>
      </c>
      <c r="S72" s="146" t="e">
        <f ca="1">RANK(R72,R:R,0)+COUNTIF($R$2:R72,R72)-1</f>
        <v>#N/A</v>
      </c>
    </row>
    <row r="73" spans="1:19" x14ac:dyDescent="0.3">
      <c r="A73" s="3" t="s">
        <v>445</v>
      </c>
      <c r="B73" s="3" t="s">
        <v>446</v>
      </c>
      <c r="C73" s="3" t="s">
        <v>308</v>
      </c>
      <c r="D73" s="3" t="s">
        <v>440</v>
      </c>
      <c r="E73" s="178">
        <v>279</v>
      </c>
      <c r="F73" s="178">
        <v>167</v>
      </c>
      <c r="G73" s="121">
        <v>0.9677419281005859</v>
      </c>
      <c r="H73" s="121">
        <v>0.9713261413574219</v>
      </c>
      <c r="I73" s="121">
        <v>0.60215053558349607</v>
      </c>
      <c r="J73" s="121">
        <v>1</v>
      </c>
      <c r="K73" s="121">
        <v>0.90322578430175782</v>
      </c>
      <c r="L73" s="121">
        <v>0.98566307067871095</v>
      </c>
      <c r="M73" s="121">
        <v>1</v>
      </c>
      <c r="N73" s="121">
        <v>0.9390680694580078</v>
      </c>
      <c r="O73" s="121">
        <v>0.55555557250976562</v>
      </c>
      <c r="P73" s="121">
        <v>0.76702507019042965</v>
      </c>
      <c r="R73" s="4" t="e" cm="1">
        <f t="array" aca="1" ref="R73" ca="1">INDEX(INDIRECT(trust_dq_table),(ROW()-ROW(INDIRECT(trust_dq_cols))),MATCH(selected_dq_name_xc,INDIRECT(trust_dq_cols),0))</f>
        <v>#N/A</v>
      </c>
      <c r="S73" s="4" t="e">
        <f ca="1">RANK(R73,R:R,0)+COUNTIF($R$2:R73,R73)-1</f>
        <v>#N/A</v>
      </c>
    </row>
    <row r="74" spans="1:19" x14ac:dyDescent="0.3">
      <c r="A74" s="98" t="s">
        <v>447</v>
      </c>
      <c r="B74" s="98" t="s">
        <v>448</v>
      </c>
      <c r="C74" s="98" t="s">
        <v>308</v>
      </c>
      <c r="D74" s="98" t="s">
        <v>440</v>
      </c>
      <c r="E74" s="178">
        <v>287</v>
      </c>
      <c r="F74" s="178">
        <v>69</v>
      </c>
      <c r="G74" s="121">
        <v>0.38327526092529296</v>
      </c>
      <c r="H74" s="121">
        <v>0.33449478149414064</v>
      </c>
      <c r="I74" s="121">
        <v>0.26132404327392578</v>
      </c>
      <c r="J74" s="121">
        <v>0.98550727844238284</v>
      </c>
      <c r="K74" s="121">
        <v>0.84320556640625</v>
      </c>
      <c r="L74" s="121">
        <v>0.43205574035644534</v>
      </c>
      <c r="M74" s="121">
        <v>1</v>
      </c>
      <c r="N74" s="121">
        <v>0.96515678405761718</v>
      </c>
      <c r="O74" s="121">
        <v>0.22996515274047852</v>
      </c>
      <c r="P74" s="121">
        <v>0.31358884811401366</v>
      </c>
      <c r="R74" s="146" t="e" cm="1">
        <f t="array" aca="1" ref="R74" ca="1">INDEX(INDIRECT(trust_dq_table),(ROW()-ROW(INDIRECT(trust_dq_cols))),MATCH(selected_dq_name_xc,INDIRECT(trust_dq_cols),0))</f>
        <v>#N/A</v>
      </c>
      <c r="S74" s="146" t="e">
        <f ca="1">RANK(R74,R:R,0)+COUNTIF($R$2:R74,R74)-1</f>
        <v>#N/A</v>
      </c>
    </row>
    <row r="75" spans="1:19" x14ac:dyDescent="0.3">
      <c r="A75" s="3" t="s">
        <v>449</v>
      </c>
      <c r="B75" s="3" t="s">
        <v>450</v>
      </c>
      <c r="C75" s="3" t="s">
        <v>297</v>
      </c>
      <c r="D75" s="3" t="s">
        <v>421</v>
      </c>
      <c r="E75" s="178">
        <v>262</v>
      </c>
      <c r="F75" s="178">
        <v>198</v>
      </c>
      <c r="G75" s="121">
        <v>0.93511451721191408</v>
      </c>
      <c r="H75" s="121">
        <v>0.93511451721191408</v>
      </c>
      <c r="I75" s="121">
        <v>0.79389312744140628</v>
      </c>
      <c r="J75" s="121">
        <v>0.98484848022460936</v>
      </c>
      <c r="K75" s="121">
        <v>0.99618324279785153</v>
      </c>
      <c r="L75" s="121">
        <v>0.93129768371582033</v>
      </c>
      <c r="M75" s="121">
        <v>1</v>
      </c>
      <c r="N75" s="121">
        <v>0.96946563720703127</v>
      </c>
      <c r="O75" s="121">
        <v>0.66793891906738279</v>
      </c>
      <c r="P75" s="121">
        <v>0.78625953674316407</v>
      </c>
      <c r="R75" s="4" t="e" cm="1">
        <f t="array" aca="1" ref="R75" ca="1">INDEX(INDIRECT(trust_dq_table),(ROW()-ROW(INDIRECT(trust_dq_cols))),MATCH(selected_dq_name_xc,INDIRECT(trust_dq_cols),0))</f>
        <v>#N/A</v>
      </c>
      <c r="S75" s="4" t="e">
        <f ca="1">RANK(R75,R:R,0)+COUNTIF($R$2:R75,R75)-1</f>
        <v>#N/A</v>
      </c>
    </row>
    <row r="76" spans="1:19" x14ac:dyDescent="0.3">
      <c r="A76" s="98" t="s">
        <v>451</v>
      </c>
      <c r="B76" s="98" t="s">
        <v>452</v>
      </c>
      <c r="C76" s="98" t="s">
        <v>268</v>
      </c>
      <c r="D76" s="98" t="s">
        <v>269</v>
      </c>
      <c r="E76" s="178">
        <v>115</v>
      </c>
      <c r="F76" s="178">
        <v>76</v>
      </c>
      <c r="G76" s="121">
        <v>0.89565216064453124</v>
      </c>
      <c r="H76" s="121">
        <v>0.93043479919433592</v>
      </c>
      <c r="I76" s="121">
        <v>0.69565216064453128</v>
      </c>
      <c r="J76" s="121">
        <v>1</v>
      </c>
      <c r="K76" s="121">
        <v>0.99130432128906254</v>
      </c>
      <c r="L76" s="121">
        <v>0.93043479919433592</v>
      </c>
      <c r="M76" s="121">
        <v>1</v>
      </c>
      <c r="N76" s="121">
        <v>0.95652175903320313</v>
      </c>
      <c r="O76" s="121">
        <v>0.60869564056396486</v>
      </c>
      <c r="P76" s="121">
        <v>0.28695652008056638</v>
      </c>
      <c r="R76" s="146" t="e" cm="1">
        <f t="array" aca="1" ref="R76" ca="1">INDEX(INDIRECT(trust_dq_table),(ROW()-ROW(INDIRECT(trust_dq_cols))),MATCH(selected_dq_name_xc,INDIRECT(trust_dq_cols),0))</f>
        <v>#N/A</v>
      </c>
      <c r="S76" s="146" t="e">
        <f ca="1">RANK(R76,R:R,0)+COUNTIF($R$2:R76,R76)-1</f>
        <v>#N/A</v>
      </c>
    </row>
    <row r="77" spans="1:19" x14ac:dyDescent="0.3">
      <c r="A77" s="3" t="s">
        <v>453</v>
      </c>
      <c r="B77" s="3" t="s">
        <v>454</v>
      </c>
      <c r="C77" s="3" t="s">
        <v>316</v>
      </c>
      <c r="D77" s="3" t="s">
        <v>360</v>
      </c>
      <c r="E77" s="178">
        <v>211</v>
      </c>
      <c r="F77" s="178">
        <v>131</v>
      </c>
      <c r="G77" s="121">
        <v>0.87677726745605467</v>
      </c>
      <c r="H77" s="121">
        <v>0.90047393798828124</v>
      </c>
      <c r="I77" s="121">
        <v>0.70142181396484371</v>
      </c>
      <c r="J77" s="121">
        <v>0.96183204650878906</v>
      </c>
      <c r="K77" s="121">
        <v>0.95734596252441406</v>
      </c>
      <c r="L77" s="121">
        <v>0.90995262145996092</v>
      </c>
      <c r="M77" s="121">
        <v>1</v>
      </c>
      <c r="N77" s="121">
        <v>0.92417060852050781</v>
      </c>
      <c r="O77" s="121">
        <v>0.53080570220947265</v>
      </c>
      <c r="P77" s="121">
        <v>0.62559242248535152</v>
      </c>
      <c r="R77" s="4" t="e" cm="1">
        <f t="array" aca="1" ref="R77" ca="1">INDEX(INDIRECT(trust_dq_table),(ROW()-ROW(INDIRECT(trust_dq_cols))),MATCH(selected_dq_name_xc,INDIRECT(trust_dq_cols),0))</f>
        <v>#N/A</v>
      </c>
      <c r="S77" s="4" t="e">
        <f ca="1">RANK(R77,R:R,0)+COUNTIF($R$2:R77,R77)-1</f>
        <v>#N/A</v>
      </c>
    </row>
    <row r="78" spans="1:19" x14ac:dyDescent="0.3">
      <c r="A78" s="98" t="s">
        <v>455</v>
      </c>
      <c r="B78" s="98" t="s">
        <v>456</v>
      </c>
      <c r="C78" s="98" t="s">
        <v>282</v>
      </c>
      <c r="D78" s="98" t="s">
        <v>294</v>
      </c>
      <c r="E78" s="178">
        <v>792</v>
      </c>
      <c r="F78" s="178">
        <v>425</v>
      </c>
      <c r="G78" s="121">
        <v>0.95202018737792971</v>
      </c>
      <c r="H78" s="121">
        <v>0.95580810546874995</v>
      </c>
      <c r="I78" s="121">
        <v>0.54797981262207029</v>
      </c>
      <c r="J78" s="121">
        <v>0.97411766052246096</v>
      </c>
      <c r="K78" s="121">
        <v>0.99368690490722655</v>
      </c>
      <c r="L78" s="121">
        <v>0.96590911865234375</v>
      </c>
      <c r="M78" s="121">
        <v>1</v>
      </c>
      <c r="N78" s="121">
        <v>0.98484848022460936</v>
      </c>
      <c r="O78" s="121">
        <v>0.65909088134765625</v>
      </c>
      <c r="P78" s="121">
        <v>0.93560607910156246</v>
      </c>
      <c r="R78" s="146" t="e" cm="1">
        <f t="array" aca="1" ref="R78" ca="1">INDEX(INDIRECT(trust_dq_table),(ROW()-ROW(INDIRECT(trust_dq_cols))),MATCH(selected_dq_name_xc,INDIRECT(trust_dq_cols),0))</f>
        <v>#N/A</v>
      </c>
      <c r="S78" s="146" t="e">
        <f ca="1">RANK(R78,R:R,0)+COUNTIF($R$2:R78,R78)-1</f>
        <v>#N/A</v>
      </c>
    </row>
    <row r="79" spans="1:19" x14ac:dyDescent="0.3">
      <c r="A79" s="3" t="s">
        <v>457</v>
      </c>
      <c r="B79" s="3" t="s">
        <v>458</v>
      </c>
      <c r="C79" s="3" t="s">
        <v>316</v>
      </c>
      <c r="D79" s="3" t="s">
        <v>360</v>
      </c>
      <c r="E79" s="178">
        <v>127</v>
      </c>
      <c r="F79" s="178">
        <v>83</v>
      </c>
      <c r="G79" s="121">
        <v>0.93700790405273438</v>
      </c>
      <c r="H79" s="121">
        <v>0.94488189697265623</v>
      </c>
      <c r="I79" s="121">
        <v>0.65354331970214841</v>
      </c>
      <c r="J79" s="121">
        <v>0.96385543823242192</v>
      </c>
      <c r="K79" s="121">
        <v>0.99212600708007814</v>
      </c>
      <c r="L79" s="121">
        <v>0.94488189697265623</v>
      </c>
      <c r="M79" s="121">
        <v>1</v>
      </c>
      <c r="N79" s="121">
        <v>0.97637794494628904</v>
      </c>
      <c r="O79" s="121">
        <v>0.69291336059570308</v>
      </c>
      <c r="P79" s="121">
        <v>0.79527557373046875</v>
      </c>
      <c r="R79" s="4" t="e" cm="1">
        <f t="array" aca="1" ref="R79" ca="1">INDEX(INDIRECT(trust_dq_table),(ROW()-ROW(INDIRECT(trust_dq_cols))),MATCH(selected_dq_name_xc,INDIRECT(trust_dq_cols),0))</f>
        <v>#N/A</v>
      </c>
      <c r="S79" s="4" t="e">
        <f ca="1">RANK(R79,R:R,0)+COUNTIF($R$2:R79,R79)-1</f>
        <v>#N/A</v>
      </c>
    </row>
    <row r="80" spans="1:19" x14ac:dyDescent="0.3">
      <c r="A80" s="98" t="s">
        <v>459</v>
      </c>
      <c r="B80" s="98" t="s">
        <v>460</v>
      </c>
      <c r="C80" s="98" t="s">
        <v>335</v>
      </c>
      <c r="D80" s="98" t="s">
        <v>357</v>
      </c>
      <c r="E80" s="178">
        <v>213</v>
      </c>
      <c r="F80" s="178">
        <v>102</v>
      </c>
      <c r="G80" s="121">
        <v>0.68075119018554686</v>
      </c>
      <c r="H80" s="121">
        <v>0.85915489196777339</v>
      </c>
      <c r="I80" s="121">
        <v>0.55399059295654296</v>
      </c>
      <c r="J80" s="121">
        <v>0.9803921508789063</v>
      </c>
      <c r="K80" s="121">
        <v>0.99061035156249999</v>
      </c>
      <c r="L80" s="121">
        <v>0.79342720031738279</v>
      </c>
      <c r="M80" s="121">
        <v>1</v>
      </c>
      <c r="N80" s="121">
        <v>0.98122062683105471</v>
      </c>
      <c r="O80" s="121">
        <v>0.55399059295654296</v>
      </c>
      <c r="P80" s="121">
        <v>0.61032863616943356</v>
      </c>
      <c r="R80" s="146" t="e" cm="1">
        <f t="array" aca="1" ref="R80" ca="1">INDEX(INDIRECT(trust_dq_table),(ROW()-ROW(INDIRECT(trust_dq_cols))),MATCH(selected_dq_name_xc,INDIRECT(trust_dq_cols),0))</f>
        <v>#N/A</v>
      </c>
      <c r="S80" s="146" t="e">
        <f ca="1">RANK(R80,R:R,0)+COUNTIF($R$2:R80,R80)-1</f>
        <v>#N/A</v>
      </c>
    </row>
    <row r="81" spans="1:19" x14ac:dyDescent="0.3">
      <c r="A81" s="3" t="s">
        <v>461</v>
      </c>
      <c r="B81" s="3" t="s">
        <v>462</v>
      </c>
      <c r="C81" s="3" t="s">
        <v>277</v>
      </c>
      <c r="D81" s="3" t="s">
        <v>278</v>
      </c>
      <c r="E81" s="178">
        <v>415</v>
      </c>
      <c r="F81" s="178">
        <v>240</v>
      </c>
      <c r="G81" s="121">
        <v>0.94457832336425784</v>
      </c>
      <c r="H81" s="121">
        <v>0.95421684265136719</v>
      </c>
      <c r="I81" s="121">
        <v>0.57590362548828122</v>
      </c>
      <c r="J81" s="121">
        <v>0.9958333587646484</v>
      </c>
      <c r="K81" s="121">
        <v>0.97831321716308595</v>
      </c>
      <c r="L81" s="121">
        <v>0.96385543823242192</v>
      </c>
      <c r="M81" s="121">
        <v>1</v>
      </c>
      <c r="N81" s="121">
        <v>0.97590362548828125</v>
      </c>
      <c r="O81" s="121">
        <v>0.71807228088378905</v>
      </c>
      <c r="P81" s="121">
        <v>0.91325302124023433</v>
      </c>
      <c r="R81" s="4" t="e" cm="1">
        <f t="array" aca="1" ref="R81" ca="1">INDEX(INDIRECT(trust_dq_table),(ROW()-ROW(INDIRECT(trust_dq_cols))),MATCH(selected_dq_name_xc,INDIRECT(trust_dq_cols),0))</f>
        <v>#N/A</v>
      </c>
      <c r="S81" s="4" t="e">
        <f ca="1">RANK(R81,R:R,0)+COUNTIF($R$2:R81,R81)-1</f>
        <v>#N/A</v>
      </c>
    </row>
    <row r="82" spans="1:19" x14ac:dyDescent="0.3">
      <c r="A82" s="98" t="s">
        <v>463</v>
      </c>
      <c r="B82" s="98" t="s">
        <v>464</v>
      </c>
      <c r="C82" s="98" t="s">
        <v>270</v>
      </c>
      <c r="D82" s="98" t="s">
        <v>315</v>
      </c>
      <c r="E82" s="178">
        <v>252</v>
      </c>
      <c r="F82" s="178">
        <v>148</v>
      </c>
      <c r="G82" s="121">
        <v>0.97619049072265629</v>
      </c>
      <c r="H82" s="121">
        <v>0.86111114501953123</v>
      </c>
      <c r="I82" s="121">
        <v>0.60317459106445315</v>
      </c>
      <c r="J82" s="121">
        <v>1</v>
      </c>
      <c r="K82" s="121">
        <v>0.98015876770019528</v>
      </c>
      <c r="L82" s="121">
        <v>0.95634918212890629</v>
      </c>
      <c r="M82" s="121">
        <v>1</v>
      </c>
      <c r="N82" s="121">
        <v>0.97222221374511719</v>
      </c>
      <c r="O82" s="121">
        <v>0.65873016357421876</v>
      </c>
      <c r="P82" s="121">
        <v>0.40476188659667967</v>
      </c>
      <c r="R82" s="146" t="e" cm="1">
        <f t="array" aca="1" ref="R82" ca="1">INDEX(INDIRECT(trust_dq_table),(ROW()-ROW(INDIRECT(trust_dq_cols))),MATCH(selected_dq_name_xc,INDIRECT(trust_dq_cols),0))</f>
        <v>#N/A</v>
      </c>
      <c r="S82" s="146" t="e">
        <f ca="1">RANK(R82,R:R,0)+COUNTIF($R$2:R82,R82)-1</f>
        <v>#N/A</v>
      </c>
    </row>
    <row r="83" spans="1:19" x14ac:dyDescent="0.3">
      <c r="A83" s="3" t="s">
        <v>465</v>
      </c>
      <c r="B83" s="3" t="s">
        <v>466</v>
      </c>
      <c r="C83" s="3" t="s">
        <v>335</v>
      </c>
      <c r="D83" s="3" t="s">
        <v>357</v>
      </c>
      <c r="E83" s="178">
        <v>236</v>
      </c>
      <c r="F83" s="178">
        <v>167</v>
      </c>
      <c r="G83" s="121">
        <v>0.87288139343261717</v>
      </c>
      <c r="H83" s="121">
        <v>0.98305084228515627</v>
      </c>
      <c r="I83" s="121">
        <v>0.74152542114257813</v>
      </c>
      <c r="J83" s="121">
        <v>0.99401199340820312</v>
      </c>
      <c r="K83" s="121">
        <v>1</v>
      </c>
      <c r="L83" s="121">
        <v>0.9745762634277344</v>
      </c>
      <c r="M83" s="121">
        <v>1</v>
      </c>
      <c r="N83" s="121">
        <v>0.98305084228515627</v>
      </c>
      <c r="O83" s="121">
        <v>0.7245762634277344</v>
      </c>
      <c r="P83" s="121">
        <v>0.45762710571289061</v>
      </c>
      <c r="R83" s="4" t="e" cm="1">
        <f t="array" aca="1" ref="R83" ca="1">INDEX(INDIRECT(trust_dq_table),(ROW()-ROW(INDIRECT(trust_dq_cols))),MATCH(selected_dq_name_xc,INDIRECT(trust_dq_cols),0))</f>
        <v>#N/A</v>
      </c>
      <c r="S83" s="4" t="e">
        <f ca="1">RANK(R83,R:R,0)+COUNTIF($R$2:R83,R83)-1</f>
        <v>#N/A</v>
      </c>
    </row>
    <row r="84" spans="1:19" x14ac:dyDescent="0.3">
      <c r="A84" s="98" t="s">
        <v>467</v>
      </c>
      <c r="B84" s="98" t="s">
        <v>468</v>
      </c>
      <c r="C84" s="98" t="s">
        <v>316</v>
      </c>
      <c r="D84" s="98" t="s">
        <v>360</v>
      </c>
      <c r="E84" s="178">
        <v>225</v>
      </c>
      <c r="F84" s="178">
        <v>137</v>
      </c>
      <c r="G84" s="121">
        <v>0.96888885498046873</v>
      </c>
      <c r="H84" s="121">
        <v>0.97777778625488276</v>
      </c>
      <c r="I84" s="121">
        <v>0.61333332061767576</v>
      </c>
      <c r="J84" s="121">
        <v>0.99270072937011722</v>
      </c>
      <c r="K84" s="121">
        <v>0.93777778625488284</v>
      </c>
      <c r="L84" s="121">
        <v>0.97333335876464844</v>
      </c>
      <c r="M84" s="121">
        <v>1</v>
      </c>
      <c r="N84" s="121">
        <v>0.97777778625488276</v>
      </c>
      <c r="O84" s="121">
        <v>0.70666664123535161</v>
      </c>
      <c r="P84" s="121">
        <v>0.81333335876464841</v>
      </c>
      <c r="R84" s="146" t="e" cm="1">
        <f t="array" aca="1" ref="R84" ca="1">INDEX(INDIRECT(trust_dq_table),(ROW()-ROW(INDIRECT(trust_dq_cols))),MATCH(selected_dq_name_xc,INDIRECT(trust_dq_cols),0))</f>
        <v>#N/A</v>
      </c>
      <c r="S84" s="146" t="e">
        <f ca="1">RANK(R84,R:R,0)+COUNTIF($R$2:R84,R84)-1</f>
        <v>#N/A</v>
      </c>
    </row>
    <row r="85" spans="1:19" x14ac:dyDescent="0.3">
      <c r="A85" s="3" t="s">
        <v>469</v>
      </c>
      <c r="B85" s="3" t="s">
        <v>470</v>
      </c>
      <c r="C85" s="3" t="s">
        <v>304</v>
      </c>
      <c r="D85" s="3" t="s">
        <v>323</v>
      </c>
      <c r="E85" s="178">
        <v>310</v>
      </c>
      <c r="F85" s="178">
        <v>213</v>
      </c>
      <c r="G85" s="121">
        <v>0.75483871459960938</v>
      </c>
      <c r="H85" s="121">
        <v>0.92258064270019535</v>
      </c>
      <c r="I85" s="121">
        <v>0.69677421569824216</v>
      </c>
      <c r="J85" s="121">
        <v>1</v>
      </c>
      <c r="K85" s="121">
        <v>0.99354835510253903</v>
      </c>
      <c r="L85" s="121">
        <v>0.91612899780273438</v>
      </c>
      <c r="M85" s="121">
        <v>1</v>
      </c>
      <c r="N85" s="121">
        <v>0.98387100219726564</v>
      </c>
      <c r="O85" s="121">
        <v>0.71935485839843749</v>
      </c>
      <c r="P85" s="121">
        <v>6.7741937637329108E-2</v>
      </c>
      <c r="R85" s="4" t="e" cm="1">
        <f t="array" aca="1" ref="R85" ca="1">INDEX(INDIRECT(trust_dq_table),(ROW()-ROW(INDIRECT(trust_dq_cols))),MATCH(selected_dq_name_xc,INDIRECT(trust_dq_cols),0))</f>
        <v>#N/A</v>
      </c>
      <c r="S85" s="4" t="e">
        <f ca="1">RANK(R85,R:R,0)+COUNTIF($R$2:R85,R85)-1</f>
        <v>#N/A</v>
      </c>
    </row>
    <row r="86" spans="1:19" x14ac:dyDescent="0.3">
      <c r="A86" s="98" t="s">
        <v>471</v>
      </c>
      <c r="B86" s="98" t="s">
        <v>472</v>
      </c>
      <c r="C86" s="98" t="s">
        <v>304</v>
      </c>
      <c r="D86" s="98" t="s">
        <v>323</v>
      </c>
      <c r="E86" s="178">
        <v>464</v>
      </c>
      <c r="F86" s="178">
        <v>281</v>
      </c>
      <c r="G86" s="121">
        <v>0.94396553039550779</v>
      </c>
      <c r="H86" s="121">
        <v>0.97629310607910158</v>
      </c>
      <c r="I86" s="121">
        <v>0.60560344696044921</v>
      </c>
      <c r="J86" s="121">
        <v>1</v>
      </c>
      <c r="K86" s="121">
        <v>1</v>
      </c>
      <c r="L86" s="121">
        <v>0.98491378784179684</v>
      </c>
      <c r="M86" s="121">
        <v>1</v>
      </c>
      <c r="N86" s="121">
        <v>1</v>
      </c>
      <c r="O86" s="121">
        <v>0.74137931823730474</v>
      </c>
      <c r="P86" s="121">
        <v>0.91594825744628905</v>
      </c>
      <c r="R86" s="146" t="e" cm="1">
        <f t="array" aca="1" ref="R86" ca="1">INDEX(INDIRECT(trust_dq_table),(ROW()-ROW(INDIRECT(trust_dq_cols))),MATCH(selected_dq_name_xc,INDIRECT(trust_dq_cols),0))</f>
        <v>#N/A</v>
      </c>
      <c r="S86" s="146" t="e">
        <f ca="1">RANK(R86,R:R,0)+COUNTIF($R$2:R86,R86)-1</f>
        <v>#N/A</v>
      </c>
    </row>
    <row r="87" spans="1:19" x14ac:dyDescent="0.3">
      <c r="A87" s="3" t="s">
        <v>473</v>
      </c>
      <c r="B87" s="3" t="s">
        <v>474</v>
      </c>
      <c r="C87" s="3" t="s">
        <v>335</v>
      </c>
      <c r="D87" s="3" t="s">
        <v>357</v>
      </c>
      <c r="E87" s="178">
        <v>89</v>
      </c>
      <c r="F87" s="178">
        <v>41</v>
      </c>
      <c r="G87" s="121">
        <v>0.84269660949707026</v>
      </c>
      <c r="H87" s="121">
        <v>0.91011238098144531</v>
      </c>
      <c r="I87" s="121">
        <v>0.5505617904663086</v>
      </c>
      <c r="J87" s="121">
        <v>1</v>
      </c>
      <c r="K87" s="121">
        <v>1</v>
      </c>
      <c r="L87" s="121">
        <v>0.93258430480957033</v>
      </c>
      <c r="M87" s="121">
        <v>1</v>
      </c>
      <c r="N87" s="121">
        <v>0.97752807617187498</v>
      </c>
      <c r="O87" s="121">
        <v>0.65168540954589849</v>
      </c>
      <c r="P87" s="121">
        <v>0.91011238098144531</v>
      </c>
      <c r="R87" s="4" t="e" cm="1">
        <f t="array" aca="1" ref="R87" ca="1">INDEX(INDIRECT(trust_dq_table),(ROW()-ROW(INDIRECT(trust_dq_cols))),MATCH(selected_dq_name_xc,INDIRECT(trust_dq_cols),0))</f>
        <v>#N/A</v>
      </c>
      <c r="S87" s="4" t="e">
        <f ca="1">RANK(R87,R:R,0)+COUNTIF($R$2:R87,R87)-1</f>
        <v>#N/A</v>
      </c>
    </row>
    <row r="88" spans="1:19" x14ac:dyDescent="0.3">
      <c r="A88" s="98" t="s">
        <v>475</v>
      </c>
      <c r="B88" s="98" t="s">
        <v>476</v>
      </c>
      <c r="C88" s="98" t="s">
        <v>265</v>
      </c>
      <c r="D88" s="98" t="s">
        <v>319</v>
      </c>
      <c r="E88" s="178">
        <v>149</v>
      </c>
      <c r="F88" s="178">
        <v>58</v>
      </c>
      <c r="G88" s="121">
        <v>0.68456375122070312</v>
      </c>
      <c r="H88" s="121">
        <v>0.73825500488281248</v>
      </c>
      <c r="I88" s="121">
        <v>0.47651008605957029</v>
      </c>
      <c r="J88" s="121">
        <v>1</v>
      </c>
      <c r="K88" s="121">
        <v>0.91275169372558596</v>
      </c>
      <c r="L88" s="121">
        <v>0.94630874633789064</v>
      </c>
      <c r="M88" s="121">
        <v>1</v>
      </c>
      <c r="N88" s="121">
        <v>0.99328857421875005</v>
      </c>
      <c r="O88" s="121">
        <v>0.47651008605957029</v>
      </c>
      <c r="P88" s="121">
        <v>0.30872482299804688</v>
      </c>
      <c r="R88" s="146" t="e" cm="1">
        <f t="array" aca="1" ref="R88" ca="1">INDEX(INDIRECT(trust_dq_table),(ROW()-ROW(INDIRECT(trust_dq_cols))),MATCH(selected_dq_name_xc,INDIRECT(trust_dq_cols),0))</f>
        <v>#N/A</v>
      </c>
      <c r="S88" s="146" t="e">
        <f ca="1">RANK(R88,R:R,0)+COUNTIF($R$2:R88,R88)-1</f>
        <v>#N/A</v>
      </c>
    </row>
    <row r="89" spans="1:19" x14ac:dyDescent="0.3">
      <c r="A89" s="3" t="s">
        <v>477</v>
      </c>
      <c r="B89" s="3" t="s">
        <v>478</v>
      </c>
      <c r="C89" s="3" t="s">
        <v>311</v>
      </c>
      <c r="D89" s="3" t="s">
        <v>312</v>
      </c>
      <c r="E89" s="178">
        <v>221</v>
      </c>
      <c r="F89" s="178">
        <v>175</v>
      </c>
      <c r="G89" s="121">
        <v>0.78733032226562505</v>
      </c>
      <c r="H89" s="121">
        <v>0.2352941131591797</v>
      </c>
      <c r="I89" s="121">
        <v>0.92307693481445308</v>
      </c>
      <c r="J89" s="121">
        <v>0.98285713195800783</v>
      </c>
      <c r="K89" s="121">
        <v>0.98642532348632816</v>
      </c>
      <c r="L89" s="121">
        <v>0.95475112915039062</v>
      </c>
      <c r="M89" s="121">
        <v>1</v>
      </c>
      <c r="N89" s="121">
        <v>0.97737556457519537</v>
      </c>
      <c r="O89" s="121">
        <v>0.32126697540283206</v>
      </c>
      <c r="P89" s="121">
        <v>6.7873301506042483E-2</v>
      </c>
      <c r="R89" s="4" t="e" cm="1">
        <f t="array" aca="1" ref="R89" ca="1">INDEX(INDIRECT(trust_dq_table),(ROW()-ROW(INDIRECT(trust_dq_cols))),MATCH(selected_dq_name_xc,INDIRECT(trust_dq_cols),0))</f>
        <v>#N/A</v>
      </c>
      <c r="S89" s="4" t="e">
        <f ca="1">RANK(R89,R:R,0)+COUNTIF($R$2:R89,R89)-1</f>
        <v>#N/A</v>
      </c>
    </row>
    <row r="90" spans="1:19" x14ac:dyDescent="0.3">
      <c r="A90" s="98" t="s">
        <v>479</v>
      </c>
      <c r="B90" s="98" t="s">
        <v>480</v>
      </c>
      <c r="C90" s="98" t="s">
        <v>265</v>
      </c>
      <c r="D90" s="98" t="s">
        <v>319</v>
      </c>
      <c r="E90" s="178">
        <v>298</v>
      </c>
      <c r="F90" s="178">
        <v>165</v>
      </c>
      <c r="G90" s="121">
        <v>0.95637580871582029</v>
      </c>
      <c r="H90" s="121">
        <v>0.83557044982910156</v>
      </c>
      <c r="I90" s="121">
        <v>0.63422817230224604</v>
      </c>
      <c r="J90" s="121">
        <v>1</v>
      </c>
      <c r="K90" s="121">
        <v>0.98993286132812497</v>
      </c>
      <c r="L90" s="121">
        <v>0.95973152160644526</v>
      </c>
      <c r="M90" s="121">
        <v>1</v>
      </c>
      <c r="N90" s="121">
        <v>0.99664428710937503</v>
      </c>
      <c r="O90" s="121">
        <v>0.69127517700195318</v>
      </c>
      <c r="P90" s="121">
        <v>0.67785232543945317</v>
      </c>
      <c r="R90" s="146" t="e" cm="1">
        <f t="array" aca="1" ref="R90" ca="1">INDEX(INDIRECT(trust_dq_table),(ROW()-ROW(INDIRECT(trust_dq_cols))),MATCH(selected_dq_name_xc,INDIRECT(trust_dq_cols),0))</f>
        <v>#N/A</v>
      </c>
      <c r="S90" s="146" t="e">
        <f ca="1">RANK(R90,R:R,0)+COUNTIF($R$2:R90,R90)-1</f>
        <v>#N/A</v>
      </c>
    </row>
    <row r="91" spans="1:19" x14ac:dyDescent="0.3">
      <c r="A91" s="3" t="s">
        <v>481</v>
      </c>
      <c r="B91" s="3" t="s">
        <v>482</v>
      </c>
      <c r="C91" s="3" t="s">
        <v>282</v>
      </c>
      <c r="D91" s="3" t="s">
        <v>294</v>
      </c>
      <c r="E91" s="178">
        <v>198</v>
      </c>
      <c r="F91" s="178">
        <v>103</v>
      </c>
      <c r="G91" s="121">
        <v>0.99494949340820316</v>
      </c>
      <c r="H91" s="121">
        <v>0.97979797363281251</v>
      </c>
      <c r="I91" s="121">
        <v>0.57575756072998052</v>
      </c>
      <c r="J91" s="121">
        <v>0.93203880310058596</v>
      </c>
      <c r="K91" s="121">
        <v>0.99494949340820316</v>
      </c>
      <c r="L91" s="121">
        <v>0.93939392089843754</v>
      </c>
      <c r="M91" s="121">
        <v>1</v>
      </c>
      <c r="N91" s="121">
        <v>0.97474746704101567</v>
      </c>
      <c r="O91" s="121">
        <v>0.75757575988769532</v>
      </c>
      <c r="P91" s="121">
        <v>0.86868690490722655</v>
      </c>
      <c r="R91" s="4" t="e" cm="1">
        <f t="array" aca="1" ref="R91" ca="1">INDEX(INDIRECT(trust_dq_table),(ROW()-ROW(INDIRECT(trust_dq_cols))),MATCH(selected_dq_name_xc,INDIRECT(trust_dq_cols),0))</f>
        <v>#N/A</v>
      </c>
      <c r="S91" s="4" t="e">
        <f ca="1">RANK(R91,R:R,0)+COUNTIF($R$2:R91,R91)-1</f>
        <v>#N/A</v>
      </c>
    </row>
    <row r="92" spans="1:19" x14ac:dyDescent="0.3">
      <c r="A92" s="98" t="s">
        <v>483</v>
      </c>
      <c r="B92" s="98" t="s">
        <v>484</v>
      </c>
      <c r="C92" s="98" t="s">
        <v>268</v>
      </c>
      <c r="D92" s="98" t="s">
        <v>269</v>
      </c>
      <c r="E92" s="178">
        <v>184</v>
      </c>
      <c r="F92" s="178">
        <v>135</v>
      </c>
      <c r="G92" s="121">
        <v>0.98913040161132815</v>
      </c>
      <c r="H92" s="121">
        <v>0.97826087951660157</v>
      </c>
      <c r="I92" s="121">
        <v>0.71195655822753912</v>
      </c>
      <c r="J92" s="121">
        <v>0.96296295166015622</v>
      </c>
      <c r="K92" s="121">
        <v>0.99456520080566402</v>
      </c>
      <c r="L92" s="121">
        <v>0.98913040161132815</v>
      </c>
      <c r="M92" s="121">
        <v>1</v>
      </c>
      <c r="N92" s="121">
        <v>0.92391304016113285</v>
      </c>
      <c r="O92" s="121">
        <v>0.71195655822753912</v>
      </c>
      <c r="P92" s="121">
        <v>0.8152173614501953</v>
      </c>
      <c r="R92" s="146" t="e" cm="1">
        <f t="array" aca="1" ref="R92" ca="1">INDEX(INDIRECT(trust_dq_table),(ROW()-ROW(INDIRECT(trust_dq_cols))),MATCH(selected_dq_name_xc,INDIRECT(trust_dq_cols),0))</f>
        <v>#N/A</v>
      </c>
      <c r="S92" s="146" t="e">
        <f ca="1">RANK(R92,R:R,0)+COUNTIF($R$2:R92,R92)-1</f>
        <v>#N/A</v>
      </c>
    </row>
    <row r="93" spans="1:19" x14ac:dyDescent="0.3">
      <c r="A93" s="3" t="s">
        <v>485</v>
      </c>
      <c r="B93" s="3" t="s">
        <v>486</v>
      </c>
      <c r="C93" s="3" t="s">
        <v>282</v>
      </c>
      <c r="D93" s="3" t="s">
        <v>294</v>
      </c>
      <c r="E93" s="178">
        <v>190</v>
      </c>
      <c r="F93" s="178">
        <v>132</v>
      </c>
      <c r="G93" s="121">
        <v>0.84210525512695311</v>
      </c>
      <c r="H93" s="121">
        <v>0.90526313781738277</v>
      </c>
      <c r="I93" s="121">
        <v>0.71052635192871094</v>
      </c>
      <c r="J93" s="121">
        <v>0.99242424011230468</v>
      </c>
      <c r="K93" s="121">
        <v>1</v>
      </c>
      <c r="L93" s="121">
        <v>0.97368423461914066</v>
      </c>
      <c r="M93" s="121">
        <v>1</v>
      </c>
      <c r="N93" s="121">
        <v>0.99473686218261714</v>
      </c>
      <c r="O93" s="121">
        <v>0.626315803527832</v>
      </c>
      <c r="P93" s="121">
        <v>0.75263160705566401</v>
      </c>
      <c r="R93" s="4" t="e" cm="1">
        <f t="array" aca="1" ref="R93" ca="1">INDEX(INDIRECT(trust_dq_table),(ROW()-ROW(INDIRECT(trust_dq_cols))),MATCH(selected_dq_name_xc,INDIRECT(trust_dq_cols),0))</f>
        <v>#N/A</v>
      </c>
      <c r="S93" s="4" t="e">
        <f ca="1">RANK(R93,R:R,0)+COUNTIF($R$2:R93,R93)-1</f>
        <v>#N/A</v>
      </c>
    </row>
    <row r="94" spans="1:19" x14ac:dyDescent="0.3">
      <c r="A94" s="98" t="s">
        <v>487</v>
      </c>
      <c r="B94" s="98" t="s">
        <v>488</v>
      </c>
      <c r="C94" s="98" t="s">
        <v>282</v>
      </c>
      <c r="D94" s="98" t="s">
        <v>294</v>
      </c>
      <c r="E94" s="178">
        <v>57</v>
      </c>
      <c r="F94" s="178">
        <v>27</v>
      </c>
      <c r="G94" s="121">
        <v>0.85964912414550776</v>
      </c>
      <c r="H94" s="121">
        <v>0.77192985534667968</v>
      </c>
      <c r="I94" s="121">
        <v>0.50877193450927738</v>
      </c>
      <c r="J94" s="121">
        <v>0.88888885498046877</v>
      </c>
      <c r="K94" s="121">
        <v>0.98245613098144535</v>
      </c>
      <c r="L94" s="121">
        <v>0.70175437927246098</v>
      </c>
      <c r="M94" s="121">
        <v>1</v>
      </c>
      <c r="N94" s="121">
        <v>0.9298245239257813</v>
      </c>
      <c r="O94" s="121">
        <v>3.5087718963623046E-2</v>
      </c>
      <c r="P94" s="121">
        <v>3.5087718963623046E-2</v>
      </c>
      <c r="R94" s="146" t="e" cm="1">
        <f t="array" aca="1" ref="R94" ca="1">INDEX(INDIRECT(trust_dq_table),(ROW()-ROW(INDIRECT(trust_dq_cols))),MATCH(selected_dq_name_xc,INDIRECT(trust_dq_cols),0))</f>
        <v>#N/A</v>
      </c>
      <c r="S94" s="146" t="e">
        <f ca="1">RANK(R94,R:R,0)+COUNTIF($R$2:R94,R94)-1</f>
        <v>#N/A</v>
      </c>
    </row>
    <row r="95" spans="1:19" x14ac:dyDescent="0.3">
      <c r="A95" s="3" t="s">
        <v>489</v>
      </c>
      <c r="B95" s="3" t="s">
        <v>490</v>
      </c>
      <c r="C95" s="3" t="s">
        <v>265</v>
      </c>
      <c r="D95" s="3" t="s">
        <v>319</v>
      </c>
      <c r="E95" s="178">
        <v>26</v>
      </c>
      <c r="F95" s="178">
        <v>0</v>
      </c>
      <c r="G95" s="121">
        <v>0.34615383148193357</v>
      </c>
      <c r="H95" s="121">
        <v>0.5</v>
      </c>
      <c r="I95" s="121">
        <v>0.84615386962890626</v>
      </c>
      <c r="J95" s="121">
        <v>0</v>
      </c>
      <c r="K95" s="121">
        <v>0.96153846740722659</v>
      </c>
      <c r="L95" s="121">
        <v>3.8461537361145021E-2</v>
      </c>
      <c r="M95" s="121">
        <v>1</v>
      </c>
      <c r="N95" s="121">
        <v>0.92307693481445308</v>
      </c>
      <c r="O95" s="121">
        <v>0</v>
      </c>
      <c r="P95" s="121">
        <v>0.23076923370361327</v>
      </c>
      <c r="R95" s="4" t="e" cm="1">
        <f t="array" aca="1" ref="R95" ca="1">INDEX(INDIRECT(trust_dq_table),(ROW()-ROW(INDIRECT(trust_dq_cols))),MATCH(selected_dq_name_xc,INDIRECT(trust_dq_cols),0))</f>
        <v>#N/A</v>
      </c>
      <c r="S95" s="4" t="e">
        <f ca="1">RANK(R95,R:R,0)+COUNTIF($R$2:R95,R95)-1</f>
        <v>#N/A</v>
      </c>
    </row>
    <row r="96" spans="1:19" x14ac:dyDescent="0.3">
      <c r="A96" s="98" t="s">
        <v>491</v>
      </c>
      <c r="B96" s="98" t="s">
        <v>492</v>
      </c>
      <c r="C96" s="98" t="s">
        <v>335</v>
      </c>
      <c r="D96" s="98" t="s">
        <v>357</v>
      </c>
      <c r="E96" s="178">
        <v>179</v>
      </c>
      <c r="F96" s="178">
        <v>102</v>
      </c>
      <c r="G96" s="121">
        <v>0.75977653503417963</v>
      </c>
      <c r="H96" s="121">
        <v>0.71508377075195317</v>
      </c>
      <c r="I96" s="121">
        <v>0.62011173248291018</v>
      </c>
      <c r="J96" s="121">
        <v>0.99019607543945309</v>
      </c>
      <c r="K96" s="121">
        <v>0.97765365600585941</v>
      </c>
      <c r="L96" s="121">
        <v>0.88268157958984372</v>
      </c>
      <c r="M96" s="121">
        <v>1</v>
      </c>
      <c r="N96" s="121">
        <v>0.95530723571777343</v>
      </c>
      <c r="O96" s="121">
        <v>0.51396648406982426</v>
      </c>
      <c r="P96" s="121">
        <v>0.13966480255126953</v>
      </c>
      <c r="R96" s="146" t="e" cm="1">
        <f t="array" aca="1" ref="R96" ca="1">INDEX(INDIRECT(trust_dq_table),(ROW()-ROW(INDIRECT(trust_dq_cols))),MATCH(selected_dq_name_xc,INDIRECT(trust_dq_cols),0))</f>
        <v>#N/A</v>
      </c>
      <c r="S96" s="146" t="e">
        <f ca="1">RANK(R96,R:R,0)+COUNTIF($R$2:R96,R96)-1</f>
        <v>#N/A</v>
      </c>
    </row>
    <row r="97" spans="1:19" x14ac:dyDescent="0.3">
      <c r="A97" s="3" t="s">
        <v>493</v>
      </c>
      <c r="B97" s="3" t="s">
        <v>494</v>
      </c>
      <c r="C97" s="3" t="s">
        <v>311</v>
      </c>
      <c r="D97" s="3" t="s">
        <v>312</v>
      </c>
      <c r="E97" s="178">
        <v>107</v>
      </c>
      <c r="F97" s="178">
        <v>55</v>
      </c>
      <c r="G97" s="121">
        <v>0.91588783264160156</v>
      </c>
      <c r="H97" s="121">
        <v>0.8878504943847656</v>
      </c>
      <c r="I97" s="121">
        <v>0.4112149429321289</v>
      </c>
      <c r="J97" s="121">
        <v>0.74545455932617188</v>
      </c>
      <c r="K97" s="121">
        <v>1</v>
      </c>
      <c r="L97" s="121">
        <v>0.95327102661132812</v>
      </c>
      <c r="M97" s="121">
        <v>1</v>
      </c>
      <c r="N97" s="121">
        <v>1</v>
      </c>
      <c r="O97" s="121">
        <v>0.48598129272460938</v>
      </c>
      <c r="P97" s="121">
        <v>0.10280373573303223</v>
      </c>
      <c r="R97" s="4" t="e" cm="1">
        <f t="array" aca="1" ref="R97" ca="1">INDEX(INDIRECT(trust_dq_table),(ROW()-ROW(INDIRECT(trust_dq_cols))),MATCH(selected_dq_name_xc,INDIRECT(trust_dq_cols),0))</f>
        <v>#N/A</v>
      </c>
      <c r="S97" s="4" t="e">
        <f ca="1">RANK(R97,R:R,0)+COUNTIF($R$2:R97,R97)-1</f>
        <v>#N/A</v>
      </c>
    </row>
    <row r="98" spans="1:19" x14ac:dyDescent="0.3">
      <c r="A98" s="98" t="s">
        <v>495</v>
      </c>
      <c r="B98" s="98" t="s">
        <v>496</v>
      </c>
      <c r="C98" s="98" t="s">
        <v>304</v>
      </c>
      <c r="D98" s="98" t="s">
        <v>323</v>
      </c>
      <c r="E98" s="178">
        <v>366</v>
      </c>
      <c r="F98" s="178">
        <v>242</v>
      </c>
      <c r="G98" s="121">
        <v>0.90163932800292967</v>
      </c>
      <c r="H98" s="121">
        <v>0.8606557464599609</v>
      </c>
      <c r="I98" s="121">
        <v>0.66120216369628904</v>
      </c>
      <c r="J98" s="121">
        <v>0.99173553466796871</v>
      </c>
      <c r="K98" s="121">
        <v>0.97267761230468752</v>
      </c>
      <c r="L98" s="121">
        <v>0.94808746337890626</v>
      </c>
      <c r="M98" s="121">
        <v>1</v>
      </c>
      <c r="N98" s="121">
        <v>0.98633880615234371</v>
      </c>
      <c r="O98" s="121">
        <v>0.64480873107910153</v>
      </c>
      <c r="P98" s="121">
        <v>0.26229507446289063</v>
      </c>
      <c r="R98" s="146" t="e" cm="1">
        <f t="array" aca="1" ref="R98" ca="1">INDEX(INDIRECT(trust_dq_table),(ROW()-ROW(INDIRECT(trust_dq_cols))),MATCH(selected_dq_name_xc,INDIRECT(trust_dq_cols),0))</f>
        <v>#N/A</v>
      </c>
      <c r="S98" s="146" t="e">
        <f ca="1">RANK(R98,R:R,0)+COUNTIF($R$2:R98,R98)-1</f>
        <v>#N/A</v>
      </c>
    </row>
    <row r="99" spans="1:19" x14ac:dyDescent="0.3">
      <c r="A99" s="3" t="s">
        <v>497</v>
      </c>
      <c r="B99" s="3" t="s">
        <v>498</v>
      </c>
      <c r="C99" s="3" t="s">
        <v>279</v>
      </c>
      <c r="D99" s="3" t="s">
        <v>285</v>
      </c>
      <c r="E99" s="178">
        <v>158</v>
      </c>
      <c r="F99" s="178">
        <v>106</v>
      </c>
      <c r="G99" s="121">
        <v>0.70886077880859377</v>
      </c>
      <c r="H99" s="121">
        <v>0.87974685668945307</v>
      </c>
      <c r="I99" s="121">
        <v>0.96835441589355464</v>
      </c>
      <c r="J99" s="121">
        <v>1</v>
      </c>
      <c r="K99" s="121">
        <v>0.98734176635742188</v>
      </c>
      <c r="L99" s="121">
        <v>0.96835441589355464</v>
      </c>
      <c r="M99" s="121">
        <v>1</v>
      </c>
      <c r="N99" s="121">
        <v>1</v>
      </c>
      <c r="O99" s="121">
        <v>0.55063289642333979</v>
      </c>
      <c r="P99" s="121">
        <v>0.37974681854248049</v>
      </c>
      <c r="R99" s="4" t="e" cm="1">
        <f t="array" aca="1" ref="R99" ca="1">INDEX(INDIRECT(trust_dq_table),(ROW()-ROW(INDIRECT(trust_dq_cols))),MATCH(selected_dq_name_xc,INDIRECT(trust_dq_cols),0))</f>
        <v>#N/A</v>
      </c>
      <c r="S99" s="4" t="e">
        <f ca="1">RANK(R99,R:R,0)+COUNTIF($R$2:R99,R99)-1</f>
        <v>#N/A</v>
      </c>
    </row>
    <row r="100" spans="1:19" x14ac:dyDescent="0.3">
      <c r="A100" s="98" t="s">
        <v>499</v>
      </c>
      <c r="B100" s="98" t="s">
        <v>500</v>
      </c>
      <c r="C100" s="98" t="s">
        <v>275</v>
      </c>
      <c r="D100" s="98" t="s">
        <v>307</v>
      </c>
      <c r="E100" s="178">
        <v>134</v>
      </c>
      <c r="F100" s="178">
        <v>90</v>
      </c>
      <c r="G100" s="121">
        <v>0.81343284606933597</v>
      </c>
      <c r="H100" s="121">
        <v>0.82089553833007811</v>
      </c>
      <c r="I100" s="121">
        <v>0.79104476928710943</v>
      </c>
      <c r="J100" s="121">
        <v>0.96666664123535151</v>
      </c>
      <c r="K100" s="121">
        <v>1</v>
      </c>
      <c r="L100" s="121">
        <v>0.70895523071289057</v>
      </c>
      <c r="M100" s="121">
        <v>1</v>
      </c>
      <c r="N100" s="121">
        <v>0.96268653869628906</v>
      </c>
      <c r="O100" s="121">
        <v>0.55223880767822264</v>
      </c>
      <c r="P100" s="121">
        <v>5.2238807678222657E-2</v>
      </c>
      <c r="R100" s="146" t="e" cm="1">
        <f t="array" aca="1" ref="R100" ca="1">INDEX(INDIRECT(trust_dq_table),(ROW()-ROW(INDIRECT(trust_dq_cols))),MATCH(selected_dq_name_xc,INDIRECT(trust_dq_cols),0))</f>
        <v>#N/A</v>
      </c>
      <c r="S100" s="146" t="e">
        <f ca="1">RANK(R100,R:R,0)+COUNTIF($R$2:R100,R100)-1</f>
        <v>#N/A</v>
      </c>
    </row>
    <row r="101" spans="1:19" x14ac:dyDescent="0.3">
      <c r="A101" s="3" t="s">
        <v>501</v>
      </c>
      <c r="B101" s="3" t="s">
        <v>502</v>
      </c>
      <c r="C101" s="3" t="s">
        <v>277</v>
      </c>
      <c r="D101" s="3" t="s">
        <v>278</v>
      </c>
      <c r="E101" s="178">
        <v>184</v>
      </c>
      <c r="F101" s="178">
        <v>110</v>
      </c>
      <c r="G101" s="121">
        <v>0.95108695983886715</v>
      </c>
      <c r="H101" s="121">
        <v>0.9402173614501953</v>
      </c>
      <c r="I101" s="121">
        <v>0.63586956024169927</v>
      </c>
      <c r="J101" s="121">
        <v>0.99090911865234377</v>
      </c>
      <c r="K101" s="121">
        <v>0.98913040161132815</v>
      </c>
      <c r="L101" s="121">
        <v>0.97282608032226559</v>
      </c>
      <c r="M101" s="121">
        <v>1</v>
      </c>
      <c r="N101" s="121">
        <v>0.98913040161132815</v>
      </c>
      <c r="O101" s="121">
        <v>0.78260871887207029</v>
      </c>
      <c r="P101" s="121">
        <v>0.25543478012084964</v>
      </c>
      <c r="R101" s="4" t="e" cm="1">
        <f t="array" aca="1" ref="R101" ca="1">INDEX(INDIRECT(trust_dq_table),(ROW()-ROW(INDIRECT(trust_dq_cols))),MATCH(selected_dq_name_xc,INDIRECT(trust_dq_cols),0))</f>
        <v>#N/A</v>
      </c>
      <c r="S101" s="4" t="e">
        <f ca="1">RANK(R101,R:R,0)+COUNTIF($R$2:R101,R101)-1</f>
        <v>#N/A</v>
      </c>
    </row>
    <row r="102" spans="1:19" x14ac:dyDescent="0.3">
      <c r="A102" s="98" t="s">
        <v>503</v>
      </c>
      <c r="B102" s="98" t="s">
        <v>504</v>
      </c>
      <c r="C102" s="98" t="s">
        <v>311</v>
      </c>
      <c r="D102" s="98" t="s">
        <v>312</v>
      </c>
      <c r="E102" s="178">
        <v>48</v>
      </c>
      <c r="F102" s="178">
        <v>25</v>
      </c>
      <c r="G102" s="121">
        <v>0.8125</v>
      </c>
      <c r="H102" s="121">
        <v>0.60416667938232427</v>
      </c>
      <c r="I102" s="121">
        <v>0.89583335876464842</v>
      </c>
      <c r="J102" s="121">
        <v>1</v>
      </c>
      <c r="K102" s="121">
        <v>0.89583335876464842</v>
      </c>
      <c r="L102" s="121">
        <v>0.8125</v>
      </c>
      <c r="M102" s="121">
        <v>1</v>
      </c>
      <c r="N102" s="121">
        <v>1</v>
      </c>
      <c r="O102" s="121">
        <v>0.1875</v>
      </c>
      <c r="P102" s="121">
        <v>0.16666666030883789</v>
      </c>
      <c r="R102" s="146" t="e" cm="1">
        <f t="array" aca="1" ref="R102" ca="1">INDEX(INDIRECT(trust_dq_table),(ROW()-ROW(INDIRECT(trust_dq_cols))),MATCH(selected_dq_name_xc,INDIRECT(trust_dq_cols),0))</f>
        <v>#N/A</v>
      </c>
      <c r="S102" s="146" t="e">
        <f ca="1">RANK(R102,R:R,0)+COUNTIF($R$2:R102,R102)-1</f>
        <v>#N/A</v>
      </c>
    </row>
    <row r="103" spans="1:19" x14ac:dyDescent="0.3">
      <c r="A103" s="3" t="s">
        <v>505</v>
      </c>
      <c r="B103" s="3" t="s">
        <v>506</v>
      </c>
      <c r="C103" s="3" t="s">
        <v>335</v>
      </c>
      <c r="D103" s="3" t="s">
        <v>357</v>
      </c>
      <c r="E103" s="178">
        <v>249</v>
      </c>
      <c r="F103" s="178">
        <v>137</v>
      </c>
      <c r="G103" s="121">
        <v>0.83935745239257809</v>
      </c>
      <c r="H103" s="121">
        <v>0.7911646270751953</v>
      </c>
      <c r="I103" s="121">
        <v>0.61847389221191407</v>
      </c>
      <c r="J103" s="121">
        <v>0.99270072937011722</v>
      </c>
      <c r="K103" s="121">
        <v>0.99598396301269532</v>
      </c>
      <c r="L103" s="121">
        <v>0.88353416442871091</v>
      </c>
      <c r="M103" s="121">
        <v>1</v>
      </c>
      <c r="N103" s="121">
        <v>0.96787147521972661</v>
      </c>
      <c r="O103" s="121">
        <v>0.64658638000488278</v>
      </c>
      <c r="P103" s="121">
        <v>0.53413654327392579</v>
      </c>
      <c r="R103" s="4" t="e" cm="1">
        <f t="array" aca="1" ref="R103" ca="1">INDEX(INDIRECT(trust_dq_table),(ROW()-ROW(INDIRECT(trust_dq_cols))),MATCH(selected_dq_name_xc,INDIRECT(trust_dq_cols),0))</f>
        <v>#N/A</v>
      </c>
      <c r="S103" s="4" t="e">
        <f ca="1">RANK(R103,R:R,0)+COUNTIF($R$2:R103,R103)-1</f>
        <v>#N/A</v>
      </c>
    </row>
    <row r="104" spans="1:19" x14ac:dyDescent="0.3">
      <c r="A104" s="98" t="s">
        <v>507</v>
      </c>
      <c r="B104" s="98" t="s">
        <v>508</v>
      </c>
      <c r="C104" s="98" t="s">
        <v>297</v>
      </c>
      <c r="D104" s="98" t="s">
        <v>421</v>
      </c>
      <c r="E104" s="178">
        <v>83</v>
      </c>
      <c r="F104" s="178">
        <v>63</v>
      </c>
      <c r="G104" s="121">
        <v>0.97590362548828125</v>
      </c>
      <c r="H104" s="121">
        <v>0.86746986389160152</v>
      </c>
      <c r="I104" s="121">
        <v>0.92771087646484374</v>
      </c>
      <c r="J104" s="121">
        <v>1</v>
      </c>
      <c r="K104" s="121">
        <v>0.98795181274414068</v>
      </c>
      <c r="L104" s="121">
        <v>0.92771087646484374</v>
      </c>
      <c r="M104" s="121">
        <v>1</v>
      </c>
      <c r="N104" s="121">
        <v>0.95180725097656249</v>
      </c>
      <c r="O104" s="121">
        <v>0.61445781707763669</v>
      </c>
      <c r="P104" s="121">
        <v>0.84337348937988277</v>
      </c>
      <c r="R104" s="146" t="e" cm="1">
        <f t="array" aca="1" ref="R104" ca="1">INDEX(INDIRECT(trust_dq_table),(ROW()-ROW(INDIRECT(trust_dq_cols))),MATCH(selected_dq_name_xc,INDIRECT(trust_dq_cols),0))</f>
        <v>#N/A</v>
      </c>
      <c r="S104" s="146" t="e">
        <f ca="1">RANK(R104,R:R,0)+COUNTIF($R$2:R104,R104)-1</f>
        <v>#N/A</v>
      </c>
    </row>
    <row r="105" spans="1:19" x14ac:dyDescent="0.3">
      <c r="A105" s="3" t="s">
        <v>509</v>
      </c>
      <c r="B105" s="3" t="s">
        <v>510</v>
      </c>
      <c r="C105" s="3" t="s">
        <v>308</v>
      </c>
      <c r="D105" s="3" t="s">
        <v>440</v>
      </c>
      <c r="E105" s="178">
        <v>219</v>
      </c>
      <c r="F105" s="178">
        <v>106</v>
      </c>
      <c r="G105" s="121">
        <v>0.87214614868164064</v>
      </c>
      <c r="H105" s="121">
        <v>0.75342468261718754</v>
      </c>
      <c r="I105" s="121">
        <v>0.83105026245117186</v>
      </c>
      <c r="J105" s="121">
        <v>1</v>
      </c>
      <c r="K105" s="121">
        <v>0.98630134582519535</v>
      </c>
      <c r="L105" s="121">
        <v>0.83561645507812499</v>
      </c>
      <c r="M105" s="121">
        <v>1</v>
      </c>
      <c r="N105" s="121">
        <v>0.97260276794433598</v>
      </c>
      <c r="O105" s="121">
        <v>0.33333332061767579</v>
      </c>
      <c r="P105" s="121">
        <v>0.278538818359375</v>
      </c>
      <c r="R105" s="4" t="e" cm="1">
        <f t="array" aca="1" ref="R105" ca="1">INDEX(INDIRECT(trust_dq_table),(ROW()-ROW(INDIRECT(trust_dq_cols))),MATCH(selected_dq_name_xc,INDIRECT(trust_dq_cols),0))</f>
        <v>#N/A</v>
      </c>
      <c r="S105" s="4" t="e">
        <f ca="1">RANK(R105,R:R,0)+COUNTIF($R$2:R105,R105)-1</f>
        <v>#N/A</v>
      </c>
    </row>
    <row r="106" spans="1:19" x14ac:dyDescent="0.3">
      <c r="A106" s="98" t="s">
        <v>511</v>
      </c>
      <c r="B106" s="98" t="s">
        <v>512</v>
      </c>
      <c r="C106" s="98" t="s">
        <v>270</v>
      </c>
      <c r="D106" s="98" t="s">
        <v>315</v>
      </c>
      <c r="E106" s="178">
        <v>405</v>
      </c>
      <c r="F106" s="178">
        <v>207</v>
      </c>
      <c r="G106" s="121">
        <v>0.91111114501953128</v>
      </c>
      <c r="H106" s="121">
        <v>0.78271606445312503</v>
      </c>
      <c r="I106" s="121">
        <v>0.56049381256103514</v>
      </c>
      <c r="J106" s="121">
        <v>0.98550727844238284</v>
      </c>
      <c r="K106" s="121">
        <v>0.98271606445312498</v>
      </c>
      <c r="L106" s="121">
        <v>0.95308639526367189</v>
      </c>
      <c r="M106" s="121">
        <v>1</v>
      </c>
      <c r="N106" s="121">
        <v>0.96790122985839844</v>
      </c>
      <c r="O106" s="121">
        <v>0.43209877014160158</v>
      </c>
      <c r="P106" s="121">
        <v>9.8765430450439451E-2</v>
      </c>
      <c r="R106" s="146" t="e" cm="1">
        <f t="array" aca="1" ref="R106" ca="1">INDEX(INDIRECT(trust_dq_table),(ROW()-ROW(INDIRECT(trust_dq_cols))),MATCH(selected_dq_name_xc,INDIRECT(trust_dq_cols),0))</f>
        <v>#N/A</v>
      </c>
      <c r="S106" s="146" t="e">
        <f ca="1">RANK(R106,R:R,0)+COUNTIF($R$2:R106,R106)-1</f>
        <v>#N/A</v>
      </c>
    </row>
    <row r="107" spans="1:19" x14ac:dyDescent="0.3">
      <c r="A107" s="3" t="s">
        <v>513</v>
      </c>
      <c r="B107" s="3" t="s">
        <v>514</v>
      </c>
      <c r="C107" s="3" t="s">
        <v>297</v>
      </c>
      <c r="D107" s="3" t="s">
        <v>421</v>
      </c>
      <c r="E107" s="178">
        <v>195</v>
      </c>
      <c r="F107" s="178">
        <v>41</v>
      </c>
      <c r="G107" s="121">
        <v>0.55384616851806645</v>
      </c>
      <c r="H107" s="121">
        <v>0.23589742660522461</v>
      </c>
      <c r="I107" s="121">
        <v>0.68717948913574223</v>
      </c>
      <c r="J107" s="121">
        <v>1</v>
      </c>
      <c r="K107" s="121">
        <v>0.96923080444335941</v>
      </c>
      <c r="L107" s="121">
        <v>0.21538461685180665</v>
      </c>
      <c r="M107" s="121">
        <v>1</v>
      </c>
      <c r="N107" s="121">
        <v>0.96410255432128911</v>
      </c>
      <c r="O107" s="121">
        <v>0.11794871330261231</v>
      </c>
      <c r="P107" s="121">
        <v>8.7179489135742194E-2</v>
      </c>
      <c r="R107" s="4" t="e" cm="1">
        <f t="array" aca="1" ref="R107" ca="1">INDEX(INDIRECT(trust_dq_table),(ROW()-ROW(INDIRECT(trust_dq_cols))),MATCH(selected_dq_name_xc,INDIRECT(trust_dq_cols),0))</f>
        <v>#N/A</v>
      </c>
      <c r="S107" s="4" t="e">
        <f ca="1">RANK(R107,R:R,0)+COUNTIF($R$2:R107,R107)-1</f>
        <v>#N/A</v>
      </c>
    </row>
    <row r="108" spans="1:19" x14ac:dyDescent="0.3">
      <c r="A108" s="98" t="s">
        <v>515</v>
      </c>
      <c r="B108" s="98" t="s">
        <v>516</v>
      </c>
      <c r="C108" s="98" t="s">
        <v>331</v>
      </c>
      <c r="D108" s="98" t="s">
        <v>334</v>
      </c>
      <c r="E108" s="178">
        <v>457</v>
      </c>
      <c r="F108" s="178">
        <v>177</v>
      </c>
      <c r="G108" s="121">
        <v>0.96717727661132813</v>
      </c>
      <c r="H108" s="121">
        <v>0.97811813354492183</v>
      </c>
      <c r="I108" s="121">
        <v>0.44857769012451171</v>
      </c>
      <c r="J108" s="121">
        <v>0.96045196533203125</v>
      </c>
      <c r="K108" s="121">
        <v>0.94310722351074217</v>
      </c>
      <c r="L108" s="121">
        <v>0.95623634338378904</v>
      </c>
      <c r="M108" s="121">
        <v>1</v>
      </c>
      <c r="N108" s="121">
        <v>0.96061271667480463</v>
      </c>
      <c r="O108" s="121">
        <v>0.71334793090820314</v>
      </c>
      <c r="P108" s="121">
        <v>0.74398246765136722</v>
      </c>
      <c r="R108" s="146" t="e" cm="1">
        <f t="array" aca="1" ref="R108" ca="1">INDEX(INDIRECT(trust_dq_table),(ROW()-ROW(INDIRECT(trust_dq_cols))),MATCH(selected_dq_name_xc,INDIRECT(trust_dq_cols),0))</f>
        <v>#N/A</v>
      </c>
      <c r="S108" s="146" t="e">
        <f ca="1">RANK(R108,R:R,0)+COUNTIF($R$2:R108,R108)-1</f>
        <v>#N/A</v>
      </c>
    </row>
    <row r="109" spans="1:19" x14ac:dyDescent="0.3">
      <c r="A109" s="3" t="s">
        <v>517</v>
      </c>
      <c r="B109" s="3" t="s">
        <v>518</v>
      </c>
      <c r="C109" s="3" t="s">
        <v>335</v>
      </c>
      <c r="D109" s="3" t="s">
        <v>357</v>
      </c>
      <c r="E109" s="178">
        <v>786</v>
      </c>
      <c r="F109" s="178">
        <v>423</v>
      </c>
      <c r="G109" s="121">
        <v>0.87022903442382815</v>
      </c>
      <c r="H109" s="121">
        <v>0.71501274108886714</v>
      </c>
      <c r="I109" s="121">
        <v>0.54071247100830078</v>
      </c>
      <c r="J109" s="121">
        <v>0.98108749389648442</v>
      </c>
      <c r="K109" s="121">
        <v>0.98727737426757811</v>
      </c>
      <c r="L109" s="121">
        <v>0.94274810791015629</v>
      </c>
      <c r="M109" s="121">
        <v>1</v>
      </c>
      <c r="N109" s="121">
        <v>0.97073791503906248</v>
      </c>
      <c r="O109" s="121">
        <v>0.33969467163085937</v>
      </c>
      <c r="P109" s="121">
        <v>3.8167939186096192E-2</v>
      </c>
      <c r="R109" s="4" t="e" cm="1">
        <f t="array" aca="1" ref="R109" ca="1">INDEX(INDIRECT(trust_dq_table),(ROW()-ROW(INDIRECT(trust_dq_cols))),MATCH(selected_dq_name_xc,INDIRECT(trust_dq_cols),0))</f>
        <v>#N/A</v>
      </c>
      <c r="S109" s="4" t="e">
        <f ca="1">RANK(R109,R:R,0)+COUNTIF($R$2:R109,R109)-1</f>
        <v>#N/A</v>
      </c>
    </row>
    <row r="110" spans="1:19" x14ac:dyDescent="0.3">
      <c r="A110" s="98" t="s">
        <v>519</v>
      </c>
      <c r="B110" s="98" t="s">
        <v>520</v>
      </c>
      <c r="C110" s="98" t="s">
        <v>316</v>
      </c>
      <c r="D110" s="98" t="s">
        <v>360</v>
      </c>
      <c r="E110" s="178">
        <v>337</v>
      </c>
      <c r="F110" s="178">
        <v>139</v>
      </c>
      <c r="G110" s="121">
        <v>0.7477745056152344</v>
      </c>
      <c r="H110" s="121">
        <v>0.88130561828613285</v>
      </c>
      <c r="I110" s="121">
        <v>0.63204746246337895</v>
      </c>
      <c r="J110" s="121">
        <v>0.97841728210449219</v>
      </c>
      <c r="K110" s="121">
        <v>0.99109794616699221</v>
      </c>
      <c r="L110" s="121">
        <v>0.89910980224609371</v>
      </c>
      <c r="M110" s="121">
        <v>1</v>
      </c>
      <c r="N110" s="121">
        <v>0.96142433166503904</v>
      </c>
      <c r="O110" s="121">
        <v>0.46587535858154294</v>
      </c>
      <c r="P110" s="121">
        <v>0.21068248748779297</v>
      </c>
      <c r="R110" s="146" t="e" cm="1">
        <f t="array" aca="1" ref="R110" ca="1">INDEX(INDIRECT(trust_dq_table),(ROW()-ROW(INDIRECT(trust_dq_cols))),MATCH(selected_dq_name_xc,INDIRECT(trust_dq_cols),0))</f>
        <v>#N/A</v>
      </c>
      <c r="S110" s="146" t="e">
        <f ca="1">RANK(R110,R:R,0)+COUNTIF($R$2:R110,R110)-1</f>
        <v>#N/A</v>
      </c>
    </row>
    <row r="111" spans="1:19" x14ac:dyDescent="0.3">
      <c r="A111" s="3" t="s">
        <v>521</v>
      </c>
      <c r="B111" s="3" t="s">
        <v>522</v>
      </c>
      <c r="C111" s="3" t="s">
        <v>335</v>
      </c>
      <c r="D111" s="3" t="s">
        <v>357</v>
      </c>
      <c r="E111" s="178">
        <v>358</v>
      </c>
      <c r="F111" s="178">
        <v>249</v>
      </c>
      <c r="G111" s="121">
        <v>0.96368713378906246</v>
      </c>
      <c r="H111" s="121">
        <v>0.9469273376464844</v>
      </c>
      <c r="I111" s="121">
        <v>0.71229049682617185</v>
      </c>
      <c r="J111" s="121">
        <v>1</v>
      </c>
      <c r="K111" s="121">
        <v>1</v>
      </c>
      <c r="L111" s="121">
        <v>0.97486030578613281</v>
      </c>
      <c r="M111" s="121">
        <v>1</v>
      </c>
      <c r="N111" s="121">
        <v>0.98603355407714843</v>
      </c>
      <c r="O111" s="121">
        <v>0.69832405090332028</v>
      </c>
      <c r="P111" s="121">
        <v>0.90782119750976564</v>
      </c>
      <c r="R111" s="4" t="e" cm="1">
        <f t="array" aca="1" ref="R111" ca="1">INDEX(INDIRECT(trust_dq_table),(ROW()-ROW(INDIRECT(trust_dq_cols))),MATCH(selected_dq_name_xc,INDIRECT(trust_dq_cols),0))</f>
        <v>#N/A</v>
      </c>
      <c r="S111" s="4" t="e">
        <f ca="1">RANK(R111,R:R,0)+COUNTIF($R$2:R111,R111)-1</f>
        <v>#N/A</v>
      </c>
    </row>
    <row r="112" spans="1:19" x14ac:dyDescent="0.3">
      <c r="A112" s="98" t="s">
        <v>523</v>
      </c>
      <c r="B112" s="98" t="s">
        <v>524</v>
      </c>
      <c r="C112" s="98" t="s">
        <v>331</v>
      </c>
      <c r="D112" s="98" t="s">
        <v>334</v>
      </c>
      <c r="E112" s="178">
        <v>336</v>
      </c>
      <c r="F112" s="178">
        <v>178</v>
      </c>
      <c r="G112" s="121">
        <v>0.89285713195800787</v>
      </c>
      <c r="H112" s="121">
        <v>0.68154762268066404</v>
      </c>
      <c r="I112" s="121">
        <v>0.55059524536132809</v>
      </c>
      <c r="J112" s="121">
        <v>0.96067413330078122</v>
      </c>
      <c r="K112" s="121">
        <v>0.98214286804199213</v>
      </c>
      <c r="L112" s="121">
        <v>0.90178573608398438</v>
      </c>
      <c r="M112" s="121">
        <v>1</v>
      </c>
      <c r="N112" s="121">
        <v>0.92857139587402349</v>
      </c>
      <c r="O112" s="121">
        <v>0.49404762268066404</v>
      </c>
      <c r="P112" s="121">
        <v>0.56547618865966798</v>
      </c>
      <c r="R112" s="146" t="e" cm="1">
        <f t="array" aca="1" ref="R112" ca="1">INDEX(INDIRECT(trust_dq_table),(ROW()-ROW(INDIRECT(trust_dq_cols))),MATCH(selected_dq_name_xc,INDIRECT(trust_dq_cols),0))</f>
        <v>#N/A</v>
      </c>
      <c r="S112" s="146" t="e">
        <f ca="1">RANK(R112,R:R,0)+COUNTIF($R$2:R112,R112)-1</f>
        <v>#N/A</v>
      </c>
    </row>
    <row r="113" spans="1:19" x14ac:dyDescent="0.3">
      <c r="A113" s="3" t="s">
        <v>525</v>
      </c>
      <c r="B113" s="3" t="s">
        <v>526</v>
      </c>
      <c r="C113" s="3" t="s">
        <v>270</v>
      </c>
      <c r="D113" s="3" t="s">
        <v>315</v>
      </c>
      <c r="E113" s="178">
        <v>383</v>
      </c>
      <c r="F113" s="178">
        <v>230</v>
      </c>
      <c r="G113" s="121">
        <v>0.96866844177246092</v>
      </c>
      <c r="H113" s="121">
        <v>0.96083549499511722</v>
      </c>
      <c r="I113" s="121">
        <v>0.5848564147949219</v>
      </c>
      <c r="J113" s="121">
        <v>0.97391304016113278</v>
      </c>
      <c r="K113" s="121">
        <v>0.96866844177246092</v>
      </c>
      <c r="L113" s="121">
        <v>0.97389030456542969</v>
      </c>
      <c r="M113" s="121">
        <v>1</v>
      </c>
      <c r="N113" s="121">
        <v>0.9530026245117188</v>
      </c>
      <c r="O113" s="121">
        <v>0.66840728759765622</v>
      </c>
      <c r="P113" s="121">
        <v>0.91383811950683591</v>
      </c>
      <c r="R113" s="4" t="e" cm="1">
        <f t="array" aca="1" ref="R113" ca="1">INDEX(INDIRECT(trust_dq_table),(ROW()-ROW(INDIRECT(trust_dq_cols))),MATCH(selected_dq_name_xc,INDIRECT(trust_dq_cols),0))</f>
        <v>#N/A</v>
      </c>
      <c r="S113" s="4" t="e">
        <f ca="1">RANK(R113,R:R,0)+COUNTIF($R$2:R113,R113)-1</f>
        <v>#N/A</v>
      </c>
    </row>
    <row r="114" spans="1:19" x14ac:dyDescent="0.3">
      <c r="A114" s="98" t="s">
        <v>527</v>
      </c>
      <c r="B114" s="98" t="s">
        <v>528</v>
      </c>
      <c r="C114" s="98" t="s">
        <v>270</v>
      </c>
      <c r="D114" s="98" t="s">
        <v>315</v>
      </c>
      <c r="E114" s="178">
        <v>603</v>
      </c>
      <c r="F114" s="178">
        <v>334</v>
      </c>
      <c r="G114" s="121">
        <v>0.81426200866699217</v>
      </c>
      <c r="H114" s="121">
        <v>0.87396354675292964</v>
      </c>
      <c r="I114" s="121">
        <v>0.57545604705810549</v>
      </c>
      <c r="J114" s="121">
        <v>0.97305389404296871</v>
      </c>
      <c r="K114" s="121">
        <v>0.98673301696777349</v>
      </c>
      <c r="L114" s="121">
        <v>0.93366500854492185</v>
      </c>
      <c r="M114" s="121">
        <v>1</v>
      </c>
      <c r="N114" s="121">
        <v>0.99336647033691405</v>
      </c>
      <c r="O114" s="121">
        <v>0.65008293151855467</v>
      </c>
      <c r="P114" s="121">
        <v>0.37645107269287109</v>
      </c>
      <c r="R114" s="146" t="e" cm="1">
        <f t="array" aca="1" ref="R114" ca="1">INDEX(INDIRECT(trust_dq_table),(ROW()-ROW(INDIRECT(trust_dq_cols))),MATCH(selected_dq_name_xc,INDIRECT(trust_dq_cols),0))</f>
        <v>#N/A</v>
      </c>
      <c r="S114" s="146" t="e">
        <f ca="1">RANK(R114,R:R,0)+COUNTIF($R$2:R114,R114)-1</f>
        <v>#N/A</v>
      </c>
    </row>
    <row r="115" spans="1:19" x14ac:dyDescent="0.3">
      <c r="A115" s="3" t="s">
        <v>529</v>
      </c>
      <c r="B115" s="3" t="s">
        <v>530</v>
      </c>
      <c r="C115" s="3" t="s">
        <v>289</v>
      </c>
      <c r="D115" s="3" t="s">
        <v>290</v>
      </c>
      <c r="E115" s="178">
        <v>242</v>
      </c>
      <c r="F115" s="178">
        <v>153</v>
      </c>
      <c r="G115" s="121">
        <v>0.93388427734375001</v>
      </c>
      <c r="H115" s="121">
        <v>0.97933883666992183</v>
      </c>
      <c r="I115" s="121">
        <v>0.65702476501464846</v>
      </c>
      <c r="J115" s="121">
        <v>0.9869281005859375</v>
      </c>
      <c r="K115" s="121">
        <v>0.98347106933593753</v>
      </c>
      <c r="L115" s="121">
        <v>0.97933883666992183</v>
      </c>
      <c r="M115" s="121">
        <v>1</v>
      </c>
      <c r="N115" s="121">
        <v>0.95867767333984377</v>
      </c>
      <c r="O115" s="121">
        <v>0.70661155700683598</v>
      </c>
      <c r="P115" s="121">
        <v>0.53719009399414064</v>
      </c>
      <c r="R115" s="4" t="e" cm="1">
        <f t="array" aca="1" ref="R115" ca="1">INDEX(INDIRECT(trust_dq_table),(ROW()-ROW(INDIRECT(trust_dq_cols))),MATCH(selected_dq_name_xc,INDIRECT(trust_dq_cols),0))</f>
        <v>#N/A</v>
      </c>
      <c r="S115" s="4" t="e">
        <f ca="1">RANK(R115,R:R,0)+COUNTIF($R$2:R115,R115)-1</f>
        <v>#N/A</v>
      </c>
    </row>
    <row r="116" spans="1:19" x14ac:dyDescent="0.3">
      <c r="A116" s="98" t="s">
        <v>531</v>
      </c>
      <c r="B116" s="98" t="s">
        <v>532</v>
      </c>
      <c r="C116" s="98" t="s">
        <v>335</v>
      </c>
      <c r="D116" s="98" t="s">
        <v>357</v>
      </c>
      <c r="E116" s="178">
        <v>508</v>
      </c>
      <c r="F116" s="178">
        <v>355</v>
      </c>
      <c r="G116" s="121">
        <v>0.94881889343261716</v>
      </c>
      <c r="H116" s="121">
        <v>0.93503936767578122</v>
      </c>
      <c r="I116" s="121">
        <v>0.70275588989257809</v>
      </c>
      <c r="J116" s="121">
        <v>0.99718307495117187</v>
      </c>
      <c r="K116" s="121">
        <v>0.97440948486328127</v>
      </c>
      <c r="L116" s="121">
        <v>0.96850395202636719</v>
      </c>
      <c r="M116" s="121">
        <v>1</v>
      </c>
      <c r="N116" s="121">
        <v>0.99409446716308592</v>
      </c>
      <c r="O116" s="121">
        <v>0.73228347778320313</v>
      </c>
      <c r="P116" s="121">
        <v>0.63582675933837896</v>
      </c>
      <c r="R116" s="146" t="e" cm="1">
        <f t="array" aca="1" ref="R116" ca="1">INDEX(INDIRECT(trust_dq_table),(ROW()-ROW(INDIRECT(trust_dq_cols))),MATCH(selected_dq_name_xc,INDIRECT(trust_dq_cols),0))</f>
        <v>#N/A</v>
      </c>
      <c r="S116" s="146" t="e">
        <f ca="1">RANK(R116,R:R,0)+COUNTIF($R$2:R116,R116)-1</f>
        <v>#N/A</v>
      </c>
    </row>
    <row r="117" spans="1:19" x14ac:dyDescent="0.3">
      <c r="A117" s="3" t="s">
        <v>533</v>
      </c>
      <c r="B117" s="3" t="s">
        <v>534</v>
      </c>
      <c r="C117" s="3" t="s">
        <v>268</v>
      </c>
      <c r="D117" s="3" t="s">
        <v>269</v>
      </c>
      <c r="E117" s="178">
        <v>582</v>
      </c>
      <c r="F117" s="178">
        <v>154</v>
      </c>
      <c r="G117" s="121">
        <v>0.88659790039062503</v>
      </c>
      <c r="H117" s="121">
        <v>0.92439865112304687</v>
      </c>
      <c r="I117" s="121">
        <v>0.53436424255371096</v>
      </c>
      <c r="J117" s="121">
        <v>0.92857139587402349</v>
      </c>
      <c r="K117" s="121">
        <v>0.94845359802246099</v>
      </c>
      <c r="L117" s="121">
        <v>0.59450172424316405</v>
      </c>
      <c r="M117" s="121">
        <v>1</v>
      </c>
      <c r="N117" s="121">
        <v>0.94673538208007813</v>
      </c>
      <c r="O117" s="121">
        <v>0.36597938537597657</v>
      </c>
      <c r="P117" s="121">
        <v>0.65635742187500001</v>
      </c>
      <c r="R117" s="4" t="e" cm="1">
        <f t="array" aca="1" ref="R117" ca="1">INDEX(INDIRECT(trust_dq_table),(ROW()-ROW(INDIRECT(trust_dq_cols))),MATCH(selected_dq_name_xc,INDIRECT(trust_dq_cols),0))</f>
        <v>#N/A</v>
      </c>
      <c r="S117" s="4" t="e">
        <f ca="1">RANK(R117,R:R,0)+COUNTIF($R$2:R117,R117)-1</f>
        <v>#N/A</v>
      </c>
    </row>
    <row r="118" spans="1:19" x14ac:dyDescent="0.3">
      <c r="A118" s="3" t="s">
        <v>535</v>
      </c>
      <c r="B118" s="3" t="s">
        <v>536</v>
      </c>
      <c r="C118" s="3" t="s">
        <v>335</v>
      </c>
      <c r="D118" s="3" t="s">
        <v>357</v>
      </c>
      <c r="E118" s="178">
        <v>140</v>
      </c>
      <c r="F118" s="178">
        <v>70</v>
      </c>
      <c r="G118" s="121">
        <v>0.89285713195800787</v>
      </c>
      <c r="H118" s="121">
        <v>0.78571426391601562</v>
      </c>
      <c r="I118" s="121">
        <v>0.51428569793701173</v>
      </c>
      <c r="J118" s="121">
        <v>0.92857139587402349</v>
      </c>
      <c r="K118" s="121">
        <v>0.97857139587402342</v>
      </c>
      <c r="L118" s="121">
        <v>0.77857139587402346</v>
      </c>
      <c r="M118" s="121">
        <v>1</v>
      </c>
      <c r="N118" s="121">
        <v>0.98571426391601558</v>
      </c>
      <c r="O118" s="121">
        <v>0.42142856597900391</v>
      </c>
      <c r="P118" s="121">
        <v>0.55000000000000004</v>
      </c>
      <c r="R118" s="146" t="e" cm="1">
        <f t="array" aca="1" ref="R118" ca="1">INDEX(INDIRECT(trust_dq_table),(ROW()-ROW(INDIRECT(trust_dq_cols))),MATCH(selected_dq_name_xc,INDIRECT(trust_dq_cols),0))</f>
        <v>#N/A</v>
      </c>
      <c r="S118" s="146" t="e">
        <f ca="1">RANK(R118,R:R,0)+COUNTIF($R$2:R118,R118)-1</f>
        <v>#N/A</v>
      </c>
    </row>
    <row r="119" spans="1:19" x14ac:dyDescent="0.3">
      <c r="A119" s="98" t="s">
        <v>537</v>
      </c>
      <c r="B119" s="98" t="s">
        <v>538</v>
      </c>
      <c r="C119" s="98" t="s">
        <v>265</v>
      </c>
      <c r="D119" s="98" t="s">
        <v>319</v>
      </c>
      <c r="E119" s="178">
        <v>222</v>
      </c>
      <c r="F119" s="178">
        <v>157</v>
      </c>
      <c r="G119" s="121">
        <v>0.95495498657226563</v>
      </c>
      <c r="H119" s="121">
        <v>0.97297294616699215</v>
      </c>
      <c r="I119" s="121">
        <v>0.74324325561523441</v>
      </c>
      <c r="J119" s="121">
        <v>1</v>
      </c>
      <c r="K119" s="121">
        <v>0.99099098205566405</v>
      </c>
      <c r="L119" s="121">
        <v>0.98648651123046871</v>
      </c>
      <c r="M119" s="121">
        <v>1</v>
      </c>
      <c r="N119" s="121">
        <v>0.99549552917480466</v>
      </c>
      <c r="O119" s="121">
        <v>0.70720718383789061</v>
      </c>
      <c r="P119" s="121">
        <v>0.88738739013671875</v>
      </c>
      <c r="R119" s="4" t="e" cm="1">
        <f t="array" aca="1" ref="R119" ca="1">INDEX(INDIRECT(trust_dq_table),(ROW()-ROW(INDIRECT(trust_dq_cols))),MATCH(selected_dq_name_xc,INDIRECT(trust_dq_cols),0))</f>
        <v>#N/A</v>
      </c>
      <c r="S119" s="4" t="e">
        <f ca="1">RANK(R119,R:R,0)+COUNTIF($R$2:R119,R119)-1</f>
        <v>#N/A</v>
      </c>
    </row>
    <row r="120" spans="1:19" x14ac:dyDescent="0.3">
      <c r="A120" s="3" t="s">
        <v>539</v>
      </c>
      <c r="B120" s="3" t="s">
        <v>540</v>
      </c>
      <c r="C120" s="3" t="s">
        <v>279</v>
      </c>
      <c r="D120" s="3" t="s">
        <v>285</v>
      </c>
      <c r="E120" s="178">
        <v>172</v>
      </c>
      <c r="F120" s="178">
        <v>126</v>
      </c>
      <c r="G120" s="121">
        <v>0.95930229187011717</v>
      </c>
      <c r="H120" s="121">
        <v>0.96511627197265626</v>
      </c>
      <c r="I120" s="121">
        <v>0.71511627197265626</v>
      </c>
      <c r="J120" s="121">
        <v>0.96031745910644528</v>
      </c>
      <c r="K120" s="121">
        <v>0.98837211608886721</v>
      </c>
      <c r="L120" s="121">
        <v>0.98837211608886721</v>
      </c>
      <c r="M120" s="121">
        <v>1</v>
      </c>
      <c r="N120" s="121">
        <v>0.99418601989746092</v>
      </c>
      <c r="O120" s="121">
        <v>0.63372093200683599</v>
      </c>
      <c r="P120" s="121">
        <v>0.95930229187011717</v>
      </c>
      <c r="R120" s="146" t="e" cm="1">
        <f t="array" aca="1" ref="R120" ca="1">INDEX(INDIRECT(trust_dq_table),(ROW()-ROW(INDIRECT(trust_dq_cols))),MATCH(selected_dq_name_xc,INDIRECT(trust_dq_cols),0))</f>
        <v>#N/A</v>
      </c>
      <c r="S120" s="146" t="e">
        <f ca="1">RANK(R120,R:R,0)+COUNTIF($R$2:R120,R120)-1</f>
        <v>#N/A</v>
      </c>
    </row>
    <row r="121" spans="1:19" x14ac:dyDescent="0.3">
      <c r="A121" s="98" t="s">
        <v>541</v>
      </c>
      <c r="B121" s="98" t="s">
        <v>542</v>
      </c>
      <c r="C121" s="98" t="s">
        <v>275</v>
      </c>
      <c r="D121" s="98" t="s">
        <v>307</v>
      </c>
      <c r="E121" s="178">
        <v>108</v>
      </c>
      <c r="F121" s="178">
        <v>29</v>
      </c>
      <c r="G121" s="121">
        <v>0.83333335876464842</v>
      </c>
      <c r="H121" s="121">
        <v>0.83333335876464842</v>
      </c>
      <c r="I121" s="121">
        <v>0.76851852416992184</v>
      </c>
      <c r="J121" s="121">
        <v>0.93103446960449221</v>
      </c>
      <c r="K121" s="121">
        <v>1</v>
      </c>
      <c r="L121" s="121">
        <v>0.87037040710449221</v>
      </c>
      <c r="M121" s="121">
        <v>1</v>
      </c>
      <c r="N121" s="121">
        <v>0.98148147583007816</v>
      </c>
      <c r="O121" s="121">
        <v>0.49074073791503908</v>
      </c>
      <c r="P121" s="121">
        <v>0.55555557250976562</v>
      </c>
      <c r="R121" s="4" t="e" cm="1">
        <f t="array" aca="1" ref="R121" ca="1">INDEX(INDIRECT(trust_dq_table),(ROW()-ROW(INDIRECT(trust_dq_cols))),MATCH(selected_dq_name_xc,INDIRECT(trust_dq_cols),0))</f>
        <v>#N/A</v>
      </c>
      <c r="S121" s="4" t="e">
        <f ca="1">RANK(R121,R:R,0)+COUNTIF($R$2:R121,R121)-1</f>
        <v>#N/A</v>
      </c>
    </row>
    <row r="122" spans="1:19" x14ac:dyDescent="0.3">
      <c r="A122" s="98" t="s">
        <v>543</v>
      </c>
      <c r="B122" s="98" t="s">
        <v>544</v>
      </c>
      <c r="C122" s="98" t="s">
        <v>265</v>
      </c>
      <c r="D122" s="98" t="s">
        <v>319</v>
      </c>
      <c r="E122" s="178">
        <v>280</v>
      </c>
      <c r="F122" s="178">
        <v>143</v>
      </c>
      <c r="G122" s="121">
        <v>0.97857139587402342</v>
      </c>
      <c r="H122" s="121">
        <v>0.9892857360839844</v>
      </c>
      <c r="I122" s="121">
        <v>0.625</v>
      </c>
      <c r="J122" s="121">
        <v>1</v>
      </c>
      <c r="K122" s="121">
        <v>0.99642860412597656</v>
      </c>
      <c r="L122" s="121">
        <v>0.99285713195800784</v>
      </c>
      <c r="M122" s="121">
        <v>1</v>
      </c>
      <c r="N122" s="121">
        <v>0.98571426391601558</v>
      </c>
      <c r="O122" s="121">
        <v>0.76785713195800787</v>
      </c>
      <c r="P122" s="121">
        <v>0.9214286041259766</v>
      </c>
      <c r="R122" s="146" t="e" cm="1">
        <f t="array" aca="1" ref="R122" ca="1">INDEX(INDIRECT(trust_dq_table),(ROW()-ROW(INDIRECT(trust_dq_cols))),MATCH(selected_dq_name_xc,INDIRECT(trust_dq_cols),0))</f>
        <v>#N/A</v>
      </c>
      <c r="S122" s="146" t="e">
        <f ca="1">RANK(R122,R:R,0)+COUNTIF($R$2:R122,R122)-1</f>
        <v>#N/A</v>
      </c>
    </row>
    <row r="123" spans="1:19" x14ac:dyDescent="0.3">
      <c r="A123" s="3" t="s">
        <v>545</v>
      </c>
      <c r="B123" s="3" t="s">
        <v>546</v>
      </c>
      <c r="C123" s="3" t="s">
        <v>335</v>
      </c>
      <c r="D123" s="3" t="s">
        <v>357</v>
      </c>
      <c r="E123" s="178">
        <v>275</v>
      </c>
      <c r="F123" s="178">
        <v>159</v>
      </c>
      <c r="G123" s="121">
        <v>0.92</v>
      </c>
      <c r="H123" s="121">
        <v>0.89090911865234379</v>
      </c>
      <c r="I123" s="121">
        <v>0.58545455932617185</v>
      </c>
      <c r="J123" s="121">
        <v>0.9559748077392578</v>
      </c>
      <c r="K123" s="121">
        <v>1</v>
      </c>
      <c r="L123" s="121">
        <v>0.9272727203369141</v>
      </c>
      <c r="M123" s="121">
        <v>1</v>
      </c>
      <c r="N123" s="121">
        <v>0.97818183898925781</v>
      </c>
      <c r="O123" s="121">
        <v>0.65818183898925786</v>
      </c>
      <c r="P123" s="121">
        <v>0.46545455932617186</v>
      </c>
      <c r="R123" s="4" t="e" cm="1">
        <f t="array" aca="1" ref="R123" ca="1">INDEX(INDIRECT(trust_dq_table),(ROW()-ROW(INDIRECT(trust_dq_cols))),MATCH(selected_dq_name_xc,INDIRECT(trust_dq_cols),0))</f>
        <v>#N/A</v>
      </c>
      <c r="S123" s="4" t="e">
        <f ca="1">RANK(R123,R:R,0)+COUNTIF($R$2:R123,R123)-1</f>
        <v>#N/A</v>
      </c>
    </row>
    <row r="124" spans="1:19" x14ac:dyDescent="0.3">
      <c r="A124" s="98" t="s">
        <v>547</v>
      </c>
      <c r="B124" s="98" t="s">
        <v>548</v>
      </c>
      <c r="C124" s="98" t="s">
        <v>282</v>
      </c>
      <c r="D124" s="98" t="s">
        <v>294</v>
      </c>
      <c r="E124" s="178">
        <v>238</v>
      </c>
      <c r="F124" s="178">
        <v>157</v>
      </c>
      <c r="G124" s="121">
        <v>0.96638656616210938</v>
      </c>
      <c r="H124" s="121">
        <v>0.92857139587402349</v>
      </c>
      <c r="I124" s="121">
        <v>0.64285713195800787</v>
      </c>
      <c r="J124" s="121">
        <v>0.96178344726562504</v>
      </c>
      <c r="K124" s="121">
        <v>0.99579833984374999</v>
      </c>
      <c r="L124" s="121">
        <v>0.99159660339355471</v>
      </c>
      <c r="M124" s="121">
        <v>1</v>
      </c>
      <c r="N124" s="121">
        <v>1</v>
      </c>
      <c r="O124" s="121">
        <v>0.62605041503906245</v>
      </c>
      <c r="P124" s="121">
        <v>0.87815124511718745</v>
      </c>
      <c r="R124" s="146" t="e" cm="1">
        <f t="array" aca="1" ref="R124" ca="1">INDEX(INDIRECT(trust_dq_table),(ROW()-ROW(INDIRECT(trust_dq_cols))),MATCH(selected_dq_name_xc,INDIRECT(trust_dq_cols),0))</f>
        <v>#N/A</v>
      </c>
      <c r="S124" s="146" t="e">
        <f ca="1">RANK(R124,R:R,0)+COUNTIF($R$2:R124,R124)-1</f>
        <v>#N/A</v>
      </c>
    </row>
    <row r="125" spans="1:19" x14ac:dyDescent="0.3">
      <c r="A125" s="3" t="s">
        <v>549</v>
      </c>
      <c r="B125" s="3" t="s">
        <v>550</v>
      </c>
      <c r="C125" s="3" t="s">
        <v>335</v>
      </c>
      <c r="D125" s="3" t="s">
        <v>357</v>
      </c>
      <c r="E125" s="178">
        <v>119</v>
      </c>
      <c r="F125" s="178">
        <v>72</v>
      </c>
      <c r="G125" s="121">
        <v>0.93277313232421877</v>
      </c>
      <c r="H125" s="121">
        <v>0.94957984924316408</v>
      </c>
      <c r="I125" s="121">
        <v>0.62184875488281255</v>
      </c>
      <c r="J125" s="121">
        <v>1</v>
      </c>
      <c r="K125" s="121">
        <v>0.98319328308105469</v>
      </c>
      <c r="L125" s="121">
        <v>0.94117645263671879</v>
      </c>
      <c r="M125" s="121">
        <v>1</v>
      </c>
      <c r="N125" s="121">
        <v>0.95798316955566409</v>
      </c>
      <c r="O125" s="121">
        <v>0.68067230224609376</v>
      </c>
      <c r="P125" s="121">
        <v>0.84873947143554684</v>
      </c>
      <c r="R125" s="4" t="e" cm="1">
        <f t="array" aca="1" ref="R125" ca="1">INDEX(INDIRECT(trust_dq_table),(ROW()-ROW(INDIRECT(trust_dq_cols))),MATCH(selected_dq_name_xc,INDIRECT(trust_dq_cols),0))</f>
        <v>#N/A</v>
      </c>
      <c r="S125" s="4" t="e">
        <f ca="1">RANK(R125,R:R,0)+COUNTIF($R$2:R125,R125)-1</f>
        <v>#N/A</v>
      </c>
    </row>
    <row r="126" spans="1:19" x14ac:dyDescent="0.3">
      <c r="A126" s="98" t="s">
        <v>551</v>
      </c>
      <c r="B126" s="98" t="s">
        <v>552</v>
      </c>
      <c r="C126" s="98" t="s">
        <v>316</v>
      </c>
      <c r="D126" s="98" t="s">
        <v>360</v>
      </c>
      <c r="E126" s="178">
        <v>94</v>
      </c>
      <c r="F126" s="178">
        <v>46</v>
      </c>
      <c r="G126" s="121">
        <v>0.97872337341308591</v>
      </c>
      <c r="H126" s="121">
        <v>0.90425529479980471</v>
      </c>
      <c r="I126" s="121">
        <v>0.61702129364013669</v>
      </c>
      <c r="J126" s="121">
        <v>1</v>
      </c>
      <c r="K126" s="121">
        <v>0.9361701965332031</v>
      </c>
      <c r="L126" s="121">
        <v>0.9255319213867188</v>
      </c>
      <c r="M126" s="121">
        <v>1</v>
      </c>
      <c r="N126" s="121">
        <v>0.88297874450683589</v>
      </c>
      <c r="O126" s="121">
        <v>0.59574466705322271</v>
      </c>
      <c r="P126" s="121">
        <v>0.44680850982666015</v>
      </c>
      <c r="R126" s="146" t="e" cm="1">
        <f t="array" aca="1" ref="R126" ca="1">INDEX(INDIRECT(trust_dq_table),(ROW()-ROW(INDIRECT(trust_dq_cols))),MATCH(selected_dq_name_xc,INDIRECT(trust_dq_cols),0))</f>
        <v>#N/A</v>
      </c>
      <c r="S126" s="146" t="e">
        <f ca="1">RANK(R126,R:R,0)+COUNTIF($R$2:R126,R126)-1</f>
        <v>#N/A</v>
      </c>
    </row>
    <row r="127" spans="1:19" x14ac:dyDescent="0.3">
      <c r="A127" s="57" t="s">
        <v>553</v>
      </c>
      <c r="B127" s="57" t="s">
        <v>554</v>
      </c>
      <c r="C127" s="57" t="s">
        <v>286</v>
      </c>
      <c r="D127" s="57" t="s">
        <v>370</v>
      </c>
      <c r="E127" s="178">
        <v>350</v>
      </c>
      <c r="F127" s="178">
        <v>143</v>
      </c>
      <c r="G127" s="121">
        <v>0.93428573608398435</v>
      </c>
      <c r="H127" s="121">
        <v>0.7657142639160156</v>
      </c>
      <c r="I127" s="121">
        <v>0.50285713195800785</v>
      </c>
      <c r="J127" s="121">
        <v>0.96503494262695311</v>
      </c>
      <c r="K127" s="121">
        <v>0.99428573608398441</v>
      </c>
      <c r="L127" s="121">
        <v>0.98285713195800783</v>
      </c>
      <c r="M127" s="121">
        <v>1</v>
      </c>
      <c r="N127" s="121">
        <v>0.93428573608398435</v>
      </c>
      <c r="O127" s="121">
        <v>0.46571430206298831</v>
      </c>
      <c r="P127" s="121">
        <v>0.19428571701049804</v>
      </c>
      <c r="R127" s="147" t="e" cm="1">
        <f t="array" aca="1" ref="R127" ca="1">INDEX(INDIRECT(trust_dq_table),(ROW()-ROW(INDIRECT(trust_dq_cols))),MATCH(selected_dq_name_xc,INDIRECT(trust_dq_cols),0))</f>
        <v>#N/A</v>
      </c>
      <c r="S127" s="147" t="e">
        <f ca="1">RANK(R127,R:R,0)+COUNTIF($R$2:R127,R127)-1</f>
        <v>#N/A</v>
      </c>
    </row>
  </sheetData>
  <sortState xmlns:xlrd2="http://schemas.microsoft.com/office/spreadsheetml/2017/richdata2" ref="A2:O127">
    <sortCondition ref="A2:A127"/>
  </sortState>
  <conditionalFormatting sqref="R1:R1048576">
    <cfRule type="top10" dxfId="18" priority="8" bottom="1" rank="1"/>
    <cfRule type="top10" dxfId="17" priority="9" rank="1"/>
  </conditionalFormatting>
  <conditionalFormatting sqref="S1 S128:S1048576">
    <cfRule type="top10" dxfId="16" priority="4" rank="1"/>
    <cfRule type="top10" dxfId="15" priority="5" bottom="1" rank="1"/>
  </conditionalFormatting>
  <conditionalFormatting sqref="S2:S127">
    <cfRule type="top10" dxfId="14" priority="1" rank="1"/>
    <cfRule type="top10" dxfId="13" priority="2" bottom="1" rank="1"/>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79998168889431442"/>
  </sheetPr>
  <dimension ref="A1:Q27"/>
  <sheetViews>
    <sheetView workbookViewId="0">
      <selection activeCell="B1" sqref="B1:O22"/>
    </sheetView>
  </sheetViews>
  <sheetFormatPr defaultRowHeight="14.4" x14ac:dyDescent="0.3"/>
  <cols>
    <col min="1" max="1" width="41.44140625" bestFit="1" customWidth="1"/>
    <col min="2" max="2" width="13.33203125" bestFit="1" customWidth="1"/>
    <col min="3" max="4" width="7" style="119" bestFit="1" customWidth="1"/>
    <col min="5" max="9" width="9.5546875" style="4" bestFit="1" customWidth="1"/>
    <col min="10" max="10" width="10.5546875" style="4" bestFit="1" customWidth="1"/>
    <col min="11" max="11" width="11.33203125" style="4" bestFit="1" customWidth="1"/>
    <col min="12" max="13" width="9.5546875" style="4" bestFit="1" customWidth="1"/>
    <col min="14" max="14" width="9.5546875" style="4" customWidth="1"/>
    <col min="16" max="16" width="19.88671875" customWidth="1"/>
    <col min="17" max="17" width="18.88671875" customWidth="1"/>
  </cols>
  <sheetData>
    <row r="1" spans="1:17" x14ac:dyDescent="0.3">
      <c r="A1" t="s">
        <v>260</v>
      </c>
      <c r="B1" t="s">
        <v>261</v>
      </c>
      <c r="C1" s="148" t="s">
        <v>174</v>
      </c>
      <c r="D1" s="148" t="s">
        <v>594</v>
      </c>
      <c r="E1" s="4" t="s">
        <v>182</v>
      </c>
      <c r="F1" s="4" t="s">
        <v>179</v>
      </c>
      <c r="G1" s="4" t="s">
        <v>178</v>
      </c>
      <c r="H1" s="4" t="s">
        <v>595</v>
      </c>
      <c r="I1" s="4" t="s">
        <v>180</v>
      </c>
      <c r="J1" s="4" t="s">
        <v>173</v>
      </c>
      <c r="K1" s="4" t="s">
        <v>177</v>
      </c>
      <c r="L1" s="4" t="s">
        <v>176</v>
      </c>
      <c r="M1" s="4" t="s">
        <v>175</v>
      </c>
      <c r="N1" s="4" t="s">
        <v>181</v>
      </c>
      <c r="O1" t="s">
        <v>596</v>
      </c>
      <c r="P1" s="10" t="s">
        <v>599</v>
      </c>
      <c r="Q1" s="10" t="s">
        <v>600</v>
      </c>
    </row>
    <row r="2" spans="1:17" x14ac:dyDescent="0.3">
      <c r="A2" s="3" t="s">
        <v>265</v>
      </c>
      <c r="B2" s="3" t="s">
        <v>319</v>
      </c>
      <c r="C2" s="141">
        <v>2067</v>
      </c>
      <c r="D2" s="141">
        <v>1249</v>
      </c>
      <c r="E2" s="142">
        <v>0.87227867126464842</v>
      </c>
      <c r="F2" s="142">
        <v>0.87566520690917971</v>
      </c>
      <c r="G2" s="142">
        <v>0.68118041992187495</v>
      </c>
      <c r="H2" s="142">
        <v>0.97838272094726564</v>
      </c>
      <c r="I2" s="142">
        <v>0.98451866149902345</v>
      </c>
      <c r="J2" s="142">
        <v>0.92936622619628906</v>
      </c>
      <c r="K2" s="142">
        <v>1</v>
      </c>
      <c r="L2" s="142">
        <v>0.98984031677246098</v>
      </c>
      <c r="M2" s="142">
        <v>0.64005805969238283</v>
      </c>
      <c r="N2" s="142">
        <v>0.66376388549804688</v>
      </c>
      <c r="P2" s="144" t="e" cm="1">
        <f t="array" aca="1" ref="P2" ca="1">INDEX(INDIRECT(aliance_dq_table),(ROW()-ROW(INDIRECT(aliance_dq_cols))),MATCH(selected_dq_name_xc,INDIRECT(aliance_dq_cols),0))</f>
        <v>#N/A</v>
      </c>
      <c r="Q2" s="11" t="e">
        <f ca="1">RANK(P2,P:P,0)+COUNTIF($P$2:P2,P2)-1</f>
        <v>#N/A</v>
      </c>
    </row>
    <row r="3" spans="1:17" x14ac:dyDescent="0.3">
      <c r="A3" s="3" t="s">
        <v>270</v>
      </c>
      <c r="B3" s="3" t="s">
        <v>315</v>
      </c>
      <c r="C3" s="141">
        <v>2243</v>
      </c>
      <c r="D3" s="141">
        <v>1359</v>
      </c>
      <c r="E3" s="142">
        <v>0.8769505310058594</v>
      </c>
      <c r="F3" s="142">
        <v>0.83994651794433595</v>
      </c>
      <c r="G3" s="142">
        <v>0.64333480834960932</v>
      </c>
      <c r="H3" s="142">
        <v>0.98749076843261718</v>
      </c>
      <c r="I3" s="142">
        <v>0.98796257019042966</v>
      </c>
      <c r="J3" s="142">
        <v>0.94605438232421879</v>
      </c>
      <c r="K3" s="142">
        <v>1</v>
      </c>
      <c r="L3" s="142">
        <v>0.97280426025390621</v>
      </c>
      <c r="M3" s="142">
        <v>0.6366473388671875</v>
      </c>
      <c r="N3" s="142">
        <v>0.4810521697998047</v>
      </c>
      <c r="P3" s="4" t="e" cm="1">
        <f t="array" aca="1" ref="P3" ca="1">INDEX(INDIRECT(aliance_dq_table),(ROW()-ROW(INDIRECT(aliance_dq_cols))),MATCH(selected_dq_name_xc,INDIRECT(aliance_dq_cols),0))</f>
        <v>#N/A</v>
      </c>
      <c r="Q3" t="e">
        <f ca="1">RANK(P3,P:P,0)+COUNTIF($P$2:P3,P3)-1</f>
        <v>#N/A</v>
      </c>
    </row>
    <row r="4" spans="1:17" x14ac:dyDescent="0.3">
      <c r="A4" s="3" t="s">
        <v>275</v>
      </c>
      <c r="B4" s="3" t="s">
        <v>307</v>
      </c>
      <c r="C4" s="141">
        <v>1850</v>
      </c>
      <c r="D4" s="141">
        <v>1065</v>
      </c>
      <c r="E4" s="142">
        <v>0.84972976684570312</v>
      </c>
      <c r="F4" s="142">
        <v>0.83621620178222655</v>
      </c>
      <c r="G4" s="142">
        <v>0.62324325561523441</v>
      </c>
      <c r="H4" s="142">
        <v>0.9436619567871094</v>
      </c>
      <c r="I4" s="142">
        <v>0.99027023315429685</v>
      </c>
      <c r="J4" s="142">
        <v>0.88270271301269532</v>
      </c>
      <c r="K4" s="142">
        <v>1</v>
      </c>
      <c r="L4" s="142">
        <v>0.97513511657714846</v>
      </c>
      <c r="M4" s="142">
        <v>0.56054054260253905</v>
      </c>
      <c r="N4" s="142">
        <v>0.51729728698730471</v>
      </c>
      <c r="P4" s="146" t="e" cm="1">
        <f t="array" aca="1" ref="P4" ca="1">INDEX(INDIRECT(aliance_dq_table),(ROW()-ROW(INDIRECT(aliance_dq_cols))),MATCH(selected_dq_name_xc,INDIRECT(aliance_dq_cols),0))</f>
        <v>#N/A</v>
      </c>
      <c r="Q4" s="9" t="e">
        <f ca="1">RANK(P4,P:P,0)+COUNTIF($P$2:P4,P4)-1</f>
        <v>#N/A</v>
      </c>
    </row>
    <row r="5" spans="1:17" x14ac:dyDescent="0.3">
      <c r="A5" s="3" t="s">
        <v>279</v>
      </c>
      <c r="B5" s="3" t="s">
        <v>285</v>
      </c>
      <c r="C5" s="141">
        <v>1566</v>
      </c>
      <c r="D5" s="141">
        <v>1014</v>
      </c>
      <c r="E5" s="142">
        <v>0.86462326049804683</v>
      </c>
      <c r="F5" s="142">
        <v>0.78288635253906247</v>
      </c>
      <c r="G5" s="142">
        <v>0.69412513732910153</v>
      </c>
      <c r="H5" s="142">
        <v>0.96646942138671876</v>
      </c>
      <c r="I5" s="142">
        <v>0.97637290954589839</v>
      </c>
      <c r="J5" s="142">
        <v>0.95210731506347657</v>
      </c>
      <c r="K5" s="142">
        <v>1</v>
      </c>
      <c r="L5" s="142">
        <v>0.97445724487304686</v>
      </c>
      <c r="M5" s="142">
        <v>0.61047252655029294</v>
      </c>
      <c r="N5" s="142">
        <v>0.43039592742919924</v>
      </c>
      <c r="P5" s="4" t="e" cm="1">
        <f t="array" aca="1" ref="P5" ca="1">INDEX(INDIRECT(aliance_dq_table),(ROW()-ROW(INDIRECT(aliance_dq_cols))),MATCH(selected_dq_name_xc,INDIRECT(aliance_dq_cols),0))</f>
        <v>#N/A</v>
      </c>
      <c r="Q5" t="e">
        <f ca="1">RANK(P5,P:P,0)+COUNTIF($P$2:P5,P5)-1</f>
        <v>#N/A</v>
      </c>
    </row>
    <row r="6" spans="1:17" x14ac:dyDescent="0.3">
      <c r="A6" s="3" t="s">
        <v>282</v>
      </c>
      <c r="B6" s="3" t="s">
        <v>294</v>
      </c>
      <c r="C6" s="141">
        <v>2264</v>
      </c>
      <c r="D6" s="141">
        <v>1306</v>
      </c>
      <c r="E6" s="142">
        <v>0.875</v>
      </c>
      <c r="F6" s="142">
        <v>0.91386924743652342</v>
      </c>
      <c r="G6" s="142">
        <v>0.63736747741699218</v>
      </c>
      <c r="H6" s="142">
        <v>0.96937210083007808</v>
      </c>
      <c r="I6" s="142">
        <v>0.99602470397949217</v>
      </c>
      <c r="J6" s="142">
        <v>0.94390457153320317</v>
      </c>
      <c r="K6" s="142">
        <v>1</v>
      </c>
      <c r="L6" s="142">
        <v>0.98233215332031254</v>
      </c>
      <c r="M6" s="142">
        <v>0.64134277343750001</v>
      </c>
      <c r="N6" s="142">
        <v>0.63074203491210934</v>
      </c>
      <c r="P6" s="146" t="e" cm="1">
        <f t="array" aca="1" ref="P6" ca="1">INDEX(INDIRECT(aliance_dq_table),(ROW()-ROW(INDIRECT(aliance_dq_cols))),MATCH(selected_dq_name_xc,INDIRECT(aliance_dq_cols),0))</f>
        <v>#N/A</v>
      </c>
      <c r="Q6" s="9" t="e">
        <f ca="1">RANK(P6,P:P,0)+COUNTIF($P$2:P6,P6)-1</f>
        <v>#N/A</v>
      </c>
    </row>
    <row r="7" spans="1:17" x14ac:dyDescent="0.3">
      <c r="A7" s="3" t="s">
        <v>286</v>
      </c>
      <c r="B7" s="3" t="s">
        <v>370</v>
      </c>
      <c r="C7" s="141">
        <v>1151</v>
      </c>
      <c r="D7" s="141">
        <v>571</v>
      </c>
      <c r="E7" s="142">
        <v>0.92267593383789059</v>
      </c>
      <c r="F7" s="142">
        <v>0.86185928344726559</v>
      </c>
      <c r="G7" s="142">
        <v>0.55603824615478514</v>
      </c>
      <c r="H7" s="142">
        <v>0.98248687744140628</v>
      </c>
      <c r="I7" s="142">
        <v>0.97567329406738279</v>
      </c>
      <c r="J7" s="142">
        <v>0.95742835998535158</v>
      </c>
      <c r="K7" s="142">
        <v>1</v>
      </c>
      <c r="L7" s="142">
        <v>0.94526496887207034</v>
      </c>
      <c r="M7" s="142">
        <v>0.59860988616943356</v>
      </c>
      <c r="N7" s="142">
        <v>0.43788009643554687</v>
      </c>
      <c r="P7" s="4" t="e" cm="1">
        <f t="array" aca="1" ref="P7" ca="1">INDEX(INDIRECT(aliance_dq_table),(ROW()-ROW(INDIRECT(aliance_dq_cols))),MATCH(selected_dq_name_xc,INDIRECT(aliance_dq_cols),0))</f>
        <v>#N/A</v>
      </c>
      <c r="Q7" t="e">
        <f ca="1">RANK(P7,P:P,0)+COUNTIF($P$2:P7,P7)-1</f>
        <v>#N/A</v>
      </c>
    </row>
    <row r="8" spans="1:17" x14ac:dyDescent="0.3">
      <c r="A8" s="3" t="s">
        <v>291</v>
      </c>
      <c r="B8" s="3" t="s">
        <v>328</v>
      </c>
      <c r="C8" s="141">
        <v>1100</v>
      </c>
      <c r="D8" s="141">
        <v>609</v>
      </c>
      <c r="E8" s="142">
        <v>0.79363639831542965</v>
      </c>
      <c r="F8" s="142">
        <v>0.80090911865234371</v>
      </c>
      <c r="G8" s="142">
        <v>0.68363639831542966</v>
      </c>
      <c r="H8" s="142">
        <v>0.98686370849609373</v>
      </c>
      <c r="I8" s="142">
        <v>0.96090911865234374</v>
      </c>
      <c r="J8" s="142">
        <v>0.88454544067382812</v>
      </c>
      <c r="K8" s="142">
        <v>1</v>
      </c>
      <c r="L8" s="142">
        <v>0.95545455932617185</v>
      </c>
      <c r="M8" s="142">
        <v>0.58272727966308591</v>
      </c>
      <c r="N8" s="142">
        <v>0.36818180084228513</v>
      </c>
      <c r="P8" s="146" t="e" cm="1">
        <f t="array" aca="1" ref="P8" ca="1">INDEX(INDIRECT(aliance_dq_table),(ROW()-ROW(INDIRECT(aliance_dq_cols))),MATCH(selected_dq_name_xc,INDIRECT(aliance_dq_cols),0))</f>
        <v>#N/A</v>
      </c>
      <c r="Q8" s="9" t="e">
        <f ca="1">RANK(P8,P:P,0)+COUNTIF($P$2:P8,P8)-1</f>
        <v>#N/A</v>
      </c>
    </row>
    <row r="9" spans="1:17" x14ac:dyDescent="0.3">
      <c r="A9" s="3" t="s">
        <v>289</v>
      </c>
      <c r="B9" s="3" t="s">
        <v>290</v>
      </c>
      <c r="C9" s="141">
        <v>1148</v>
      </c>
      <c r="D9" s="141">
        <v>691</v>
      </c>
      <c r="E9" s="142">
        <v>0.85365852355957028</v>
      </c>
      <c r="F9" s="142">
        <v>0.80749130249023438</v>
      </c>
      <c r="G9" s="142">
        <v>0.6202090454101562</v>
      </c>
      <c r="H9" s="142">
        <v>0.98263389587402339</v>
      </c>
      <c r="I9" s="142">
        <v>0.98693382263183593</v>
      </c>
      <c r="J9" s="142">
        <v>0.94860626220703126</v>
      </c>
      <c r="K9" s="142">
        <v>1</v>
      </c>
      <c r="L9" s="142">
        <v>0.97386756896972659</v>
      </c>
      <c r="M9" s="142">
        <v>0.6193379974365234</v>
      </c>
      <c r="N9" s="142">
        <v>0.43728221893310548</v>
      </c>
      <c r="P9" s="4" t="e" cm="1">
        <f t="array" aca="1" ref="P9" ca="1">INDEX(INDIRECT(aliance_dq_table),(ROW()-ROW(INDIRECT(aliance_dq_cols))),MATCH(selected_dq_name_xc,INDIRECT(aliance_dq_cols),0))</f>
        <v>#N/A</v>
      </c>
      <c r="Q9" t="e">
        <f ca="1">RANK(P9,P:P,0)+COUNTIF($P$2:P9,P9)-1</f>
        <v>#N/A</v>
      </c>
    </row>
    <row r="10" spans="1:17" x14ac:dyDescent="0.3">
      <c r="A10" s="3" t="s">
        <v>297</v>
      </c>
      <c r="B10" s="3" t="s">
        <v>421</v>
      </c>
      <c r="C10" s="141">
        <v>666</v>
      </c>
      <c r="D10" s="141">
        <v>362</v>
      </c>
      <c r="E10" s="142">
        <v>0.81381378173828123</v>
      </c>
      <c r="F10" s="142">
        <v>0.62912914276123044</v>
      </c>
      <c r="G10" s="142">
        <v>0.78828826904296878</v>
      </c>
      <c r="H10" s="142">
        <v>0.98895027160644533</v>
      </c>
      <c r="I10" s="142">
        <v>0.98348350524902339</v>
      </c>
      <c r="J10" s="142">
        <v>0.64264266967773442</v>
      </c>
      <c r="K10" s="142">
        <v>1</v>
      </c>
      <c r="L10" s="142">
        <v>0.96846847534179692</v>
      </c>
      <c r="M10" s="142">
        <v>0.51201202392578127</v>
      </c>
      <c r="N10" s="142">
        <v>0.45345344543457033</v>
      </c>
      <c r="P10" s="146" t="e" cm="1">
        <f t="array" aca="1" ref="P10" ca="1">INDEX(INDIRECT(aliance_dq_table),(ROW()-ROW(INDIRECT(aliance_dq_cols))),MATCH(selected_dq_name_xc,INDIRECT(aliance_dq_cols),0))</f>
        <v>#N/A</v>
      </c>
      <c r="Q10" s="9" t="e">
        <f ca="1">RANK(P10,P:P,0)+COUNTIF($P$2:P10,P10)-1</f>
        <v>#N/A</v>
      </c>
    </row>
    <row r="11" spans="1:17" x14ac:dyDescent="0.3">
      <c r="A11" s="3" t="s">
        <v>273</v>
      </c>
      <c r="B11" s="3" t="s">
        <v>274</v>
      </c>
      <c r="C11" s="141">
        <v>807</v>
      </c>
      <c r="D11" s="141">
        <v>475</v>
      </c>
      <c r="E11" s="142">
        <v>0.90334571838378908</v>
      </c>
      <c r="F11" s="142">
        <v>0.54646839141845704</v>
      </c>
      <c r="G11" s="142">
        <v>0.73358116149902342</v>
      </c>
      <c r="H11" s="142">
        <v>0.98105262756347655</v>
      </c>
      <c r="I11" s="142">
        <v>0.97273857116699214</v>
      </c>
      <c r="J11" s="142">
        <v>0.8748451232910156</v>
      </c>
      <c r="K11" s="142">
        <v>1</v>
      </c>
      <c r="L11" s="142">
        <v>0.98884757995605466</v>
      </c>
      <c r="M11" s="142">
        <v>0.52044609069824221</v>
      </c>
      <c r="N11" s="142">
        <v>0.44114002227783206</v>
      </c>
      <c r="P11" s="4" t="e" cm="1">
        <f t="array" aca="1" ref="P11" ca="1">INDEX(INDIRECT(aliance_dq_table),(ROW()-ROW(INDIRECT(aliance_dq_cols))),MATCH(selected_dq_name_xc,INDIRECT(aliance_dq_cols),0))</f>
        <v>#N/A</v>
      </c>
      <c r="Q11" t="e">
        <f ca="1">RANK(P11,P:P,0)+COUNTIF($P$2:P11,P11)-1</f>
        <v>#N/A</v>
      </c>
    </row>
    <row r="12" spans="1:17" x14ac:dyDescent="0.3">
      <c r="A12" s="3" t="s">
        <v>304</v>
      </c>
      <c r="B12" s="3" t="s">
        <v>323</v>
      </c>
      <c r="C12" s="141">
        <v>2685</v>
      </c>
      <c r="D12" s="141">
        <v>1660</v>
      </c>
      <c r="E12" s="142">
        <v>0.8893854522705078</v>
      </c>
      <c r="F12" s="142">
        <v>0.87150840759277348</v>
      </c>
      <c r="G12" s="142">
        <v>0.6558659362792969</v>
      </c>
      <c r="H12" s="142">
        <v>0.99096382141113282</v>
      </c>
      <c r="I12" s="142">
        <v>0.97728118896484373</v>
      </c>
      <c r="J12" s="142">
        <v>0.95456237792968746</v>
      </c>
      <c r="K12" s="142">
        <v>1</v>
      </c>
      <c r="L12" s="142">
        <v>0.98100555419921875</v>
      </c>
      <c r="M12" s="142">
        <v>0.62346366882324222</v>
      </c>
      <c r="N12" s="142">
        <v>0.56238361358642575</v>
      </c>
      <c r="P12" s="146" t="e" cm="1">
        <f t="array" aca="1" ref="P12" ca="1">INDEX(INDIRECT(aliance_dq_table),(ROW()-ROW(INDIRECT(aliance_dq_cols))),MATCH(selected_dq_name_xc,INDIRECT(aliance_dq_cols),0))</f>
        <v>#N/A</v>
      </c>
      <c r="Q12" s="9" t="e">
        <f ca="1">RANK(P12,P:P,0)+COUNTIF($P$2:P12,P12)-1</f>
        <v>#N/A</v>
      </c>
    </row>
    <row r="13" spans="1:17" x14ac:dyDescent="0.3">
      <c r="A13" s="3" t="s">
        <v>601</v>
      </c>
      <c r="B13" s="3" t="s">
        <v>440</v>
      </c>
      <c r="C13" s="141">
        <v>1191</v>
      </c>
      <c r="D13" s="141">
        <v>570</v>
      </c>
      <c r="E13" s="142">
        <v>0.76406379699707028</v>
      </c>
      <c r="F13" s="142">
        <v>0.75398826599121094</v>
      </c>
      <c r="G13" s="142">
        <v>0.56087322235107417</v>
      </c>
      <c r="H13" s="142">
        <v>0.99649124145507817</v>
      </c>
      <c r="I13" s="142">
        <v>0.92359359741210934</v>
      </c>
      <c r="J13" s="142">
        <v>0.81863983154296871</v>
      </c>
      <c r="K13" s="142">
        <v>1</v>
      </c>
      <c r="L13" s="142">
        <v>0.96893363952636724</v>
      </c>
      <c r="M13" s="142">
        <v>0.41645675659179687</v>
      </c>
      <c r="N13" s="142">
        <v>0.42905120849609374</v>
      </c>
      <c r="P13" s="4" t="e" cm="1">
        <f t="array" aca="1" ref="P13" ca="1">INDEX(INDIRECT(aliance_dq_table),(ROW()-ROW(INDIRECT(aliance_dq_cols))),MATCH(selected_dq_name_xc,INDIRECT(aliance_dq_cols),0))</f>
        <v>#N/A</v>
      </c>
      <c r="Q13" t="e">
        <f ca="1">RANK(P13,P:P,0)+COUNTIF($P$2:P13,P13)-1</f>
        <v>#N/A</v>
      </c>
    </row>
    <row r="14" spans="1:17" x14ac:dyDescent="0.3">
      <c r="A14" s="3" t="s">
        <v>311</v>
      </c>
      <c r="B14" s="3" t="s">
        <v>312</v>
      </c>
      <c r="C14" s="141">
        <v>1449</v>
      </c>
      <c r="D14" s="141">
        <v>964</v>
      </c>
      <c r="E14" s="142">
        <v>0.85300209045410158</v>
      </c>
      <c r="F14" s="142">
        <v>0.74396133422851563</v>
      </c>
      <c r="G14" s="142">
        <v>0.72325744628906252</v>
      </c>
      <c r="H14" s="142">
        <v>0.92738586425781255</v>
      </c>
      <c r="I14" s="142">
        <v>0.98274673461914064</v>
      </c>
      <c r="J14" s="142">
        <v>0.94133888244628905</v>
      </c>
      <c r="K14" s="142">
        <v>1</v>
      </c>
      <c r="L14" s="142">
        <v>0.97239479064941403</v>
      </c>
      <c r="M14" s="142">
        <v>0.48930297851562499</v>
      </c>
      <c r="N14" s="142">
        <v>0.15251897811889648</v>
      </c>
      <c r="P14" s="146" t="e" cm="1">
        <f t="array" aca="1" ref="P14" ca="1">INDEX(INDIRECT(aliance_dq_table),(ROW()-ROW(INDIRECT(aliance_dq_cols))),MATCH(selected_dq_name_xc,INDIRECT(aliance_dq_cols),0))</f>
        <v>#N/A</v>
      </c>
      <c r="Q14" s="9" t="e">
        <f ca="1">RANK(P14,P:P,0)+COUNTIF($P$2:P14,P14)-1</f>
        <v>#N/A</v>
      </c>
    </row>
    <row r="15" spans="1:17" x14ac:dyDescent="0.3">
      <c r="A15" s="3" t="s">
        <v>316</v>
      </c>
      <c r="B15" s="3" t="s">
        <v>360</v>
      </c>
      <c r="C15" s="141">
        <v>1548</v>
      </c>
      <c r="D15" s="141">
        <v>864</v>
      </c>
      <c r="E15" s="142">
        <v>0.87919898986816403</v>
      </c>
      <c r="F15" s="142">
        <v>0.91085273742675776</v>
      </c>
      <c r="G15" s="142">
        <v>0.62790699005126949</v>
      </c>
      <c r="H15" s="142">
        <v>0.98032409667968745</v>
      </c>
      <c r="I15" s="142">
        <v>0.96511627197265626</v>
      </c>
      <c r="J15" s="142">
        <v>0.90245475769042971</v>
      </c>
      <c r="K15" s="142">
        <v>1</v>
      </c>
      <c r="L15" s="142">
        <v>0.95025840759277347</v>
      </c>
      <c r="M15" s="142">
        <v>0.59883720397949214</v>
      </c>
      <c r="N15" s="142">
        <v>0.39857879638671873</v>
      </c>
      <c r="P15" s="4" t="e" cm="1">
        <f t="array" aca="1" ref="P15" ca="1">INDEX(INDIRECT(aliance_dq_table),(ROW()-ROW(INDIRECT(aliance_dq_cols))),MATCH(selected_dq_name_xc,INDIRECT(aliance_dq_cols),0))</f>
        <v>#N/A</v>
      </c>
      <c r="Q15" t="e">
        <f ca="1">RANK(P15,P:P,0)+COUNTIF($P$2:P15,P15)-1</f>
        <v>#N/A</v>
      </c>
    </row>
    <row r="16" spans="1:17" x14ac:dyDescent="0.3">
      <c r="A16" s="3" t="s">
        <v>320</v>
      </c>
      <c r="B16" s="3" t="s">
        <v>365</v>
      </c>
      <c r="C16" s="141">
        <v>945</v>
      </c>
      <c r="D16" s="141">
        <v>469</v>
      </c>
      <c r="E16" s="142">
        <v>0.72169311523437496</v>
      </c>
      <c r="F16" s="142">
        <v>0.67407409667968754</v>
      </c>
      <c r="G16" s="142">
        <v>0.52698413848876957</v>
      </c>
      <c r="H16" s="142">
        <v>0.92750534057617184</v>
      </c>
      <c r="I16" s="142">
        <v>0.98518516540527346</v>
      </c>
      <c r="J16" s="142">
        <v>0.83809524536132818</v>
      </c>
      <c r="K16" s="142">
        <v>1</v>
      </c>
      <c r="L16" s="142">
        <v>0.96190475463867187</v>
      </c>
      <c r="M16" s="142">
        <v>0.52380950927734371</v>
      </c>
      <c r="N16" s="142">
        <v>0.521693115234375</v>
      </c>
      <c r="P16" s="146" t="e" cm="1">
        <f t="array" aca="1" ref="P16" ca="1">INDEX(INDIRECT(aliance_dq_table),(ROW()-ROW(INDIRECT(aliance_dq_cols))),MATCH(selected_dq_name_xc,INDIRECT(aliance_dq_cols),0))</f>
        <v>#N/A</v>
      </c>
      <c r="Q16" s="9" t="e">
        <f ca="1">RANK(P16,P:P,0)+COUNTIF($P$2:P16,P16)-1</f>
        <v>#N/A</v>
      </c>
    </row>
    <row r="17" spans="1:17" x14ac:dyDescent="0.3">
      <c r="A17" s="3" t="s">
        <v>277</v>
      </c>
      <c r="B17" s="3" t="s">
        <v>278</v>
      </c>
      <c r="C17" s="141">
        <v>1411</v>
      </c>
      <c r="D17" s="141">
        <v>837</v>
      </c>
      <c r="E17" s="142">
        <v>0.93267189025878905</v>
      </c>
      <c r="F17" s="142">
        <v>0.86676116943359371</v>
      </c>
      <c r="G17" s="142">
        <v>0.59177886962890625</v>
      </c>
      <c r="H17" s="142">
        <v>0.97849464416503906</v>
      </c>
      <c r="I17" s="142">
        <v>0.94259391784667967</v>
      </c>
      <c r="J17" s="142">
        <v>0.9567682647705078</v>
      </c>
      <c r="K17" s="142">
        <v>1</v>
      </c>
      <c r="L17" s="142">
        <v>0.98157333374023437</v>
      </c>
      <c r="M17" s="142">
        <v>0.63430191040039063</v>
      </c>
      <c r="N17" s="142">
        <v>0.47200565338134765</v>
      </c>
      <c r="P17" s="4" t="e" cm="1">
        <f t="array" aca="1" ref="P17" ca="1">INDEX(INDIRECT(aliance_dq_table),(ROW()-ROW(INDIRECT(aliance_dq_cols))),MATCH(selected_dq_name_xc,INDIRECT(aliance_dq_cols),0))</f>
        <v>#N/A</v>
      </c>
      <c r="Q17" t="e">
        <f ca="1">RANK(P17,P:P,0)+COUNTIF($P$2:P17,P17)-1</f>
        <v>#N/A</v>
      </c>
    </row>
    <row r="18" spans="1:17" x14ac:dyDescent="0.3">
      <c r="A18" s="3" t="s">
        <v>268</v>
      </c>
      <c r="B18" s="3" t="s">
        <v>269</v>
      </c>
      <c r="C18" s="141">
        <v>1562</v>
      </c>
      <c r="D18" s="141">
        <v>713</v>
      </c>
      <c r="E18" s="142">
        <v>0.87387962341308589</v>
      </c>
      <c r="F18" s="142">
        <v>0.88220230102539066</v>
      </c>
      <c r="G18" s="142">
        <v>0.59987194061279292</v>
      </c>
      <c r="H18" s="142">
        <v>0.9691444396972656</v>
      </c>
      <c r="I18" s="142">
        <v>0.96542892456054685</v>
      </c>
      <c r="J18" s="142">
        <v>0.80153648376464848</v>
      </c>
      <c r="K18" s="142">
        <v>1</v>
      </c>
      <c r="L18" s="142">
        <v>0.93918052673339847</v>
      </c>
      <c r="M18" s="142">
        <v>0.48847629547119142</v>
      </c>
      <c r="N18" s="142">
        <v>0.5416133117675781</v>
      </c>
      <c r="P18" s="146" t="e" cm="1">
        <f t="array" aca="1" ref="P18" ca="1">INDEX(INDIRECT(aliance_dq_table),(ROW()-ROW(INDIRECT(aliance_dq_cols))),MATCH(selected_dq_name_xc,INDIRECT(aliance_dq_cols),0))</f>
        <v>#N/A</v>
      </c>
      <c r="Q18" s="9" t="e">
        <f ca="1">RANK(P18,P:P,0)+COUNTIF($P$2:P18,P18)-1</f>
        <v>#N/A</v>
      </c>
    </row>
    <row r="19" spans="1:17" x14ac:dyDescent="0.3">
      <c r="A19" s="3" t="s">
        <v>300</v>
      </c>
      <c r="B19" s="3" t="s">
        <v>301</v>
      </c>
      <c r="C19" s="141">
        <v>1374</v>
      </c>
      <c r="D19" s="141">
        <v>901</v>
      </c>
      <c r="E19" s="142">
        <v>0.89665214538574223</v>
      </c>
      <c r="F19" s="142">
        <v>0.89737991333007816</v>
      </c>
      <c r="G19" s="142">
        <v>0.7976710510253906</v>
      </c>
      <c r="H19" s="142">
        <v>0.99112098693847661</v>
      </c>
      <c r="I19" s="142">
        <v>0.98835517883300783</v>
      </c>
      <c r="J19" s="142">
        <v>0.96142646789550779</v>
      </c>
      <c r="K19" s="142">
        <v>1</v>
      </c>
      <c r="L19" s="142">
        <v>0.96069869995117185</v>
      </c>
      <c r="M19" s="142">
        <v>0.72125183105468749</v>
      </c>
      <c r="N19" s="142">
        <v>0.67540031433105474</v>
      </c>
      <c r="P19" s="4" t="e" cm="1">
        <f t="array" aca="1" ref="P19" ca="1">INDEX(INDIRECT(aliance_dq_table),(ROW()-ROW(INDIRECT(aliance_dq_cols))),MATCH(selected_dq_name_xc,INDIRECT(aliance_dq_cols),0))</f>
        <v>#N/A</v>
      </c>
      <c r="Q19" t="e">
        <f ca="1">RANK(P19,P:P,0)+COUNTIF($P$2:P19,P19)-1</f>
        <v>#N/A</v>
      </c>
    </row>
    <row r="20" spans="1:17" x14ac:dyDescent="0.3">
      <c r="A20" s="3" t="s">
        <v>331</v>
      </c>
      <c r="B20" s="3" t="s">
        <v>334</v>
      </c>
      <c r="C20" s="141">
        <v>1400</v>
      </c>
      <c r="D20" s="141">
        <v>748</v>
      </c>
      <c r="E20" s="142">
        <v>0.9214286041259766</v>
      </c>
      <c r="F20" s="142">
        <v>0.88642860412597657</v>
      </c>
      <c r="G20" s="142">
        <v>0.5678571319580078</v>
      </c>
      <c r="H20" s="142">
        <v>0.9719251251220703</v>
      </c>
      <c r="I20" s="142">
        <v>0.9428571319580078</v>
      </c>
      <c r="J20" s="142">
        <v>0.94071426391601565</v>
      </c>
      <c r="K20" s="142">
        <v>1</v>
      </c>
      <c r="L20" s="142">
        <v>0.93714286804199221</v>
      </c>
      <c r="M20" s="142">
        <v>0.65500000000000003</v>
      </c>
      <c r="N20" s="142">
        <v>0.71428573608398438</v>
      </c>
      <c r="P20" s="146" t="e" cm="1">
        <f t="array" aca="1" ref="P20" ca="1">INDEX(INDIRECT(aliance_dq_table),(ROW()-ROW(INDIRECT(aliance_dq_cols))),MATCH(selected_dq_name_xc,INDIRECT(aliance_dq_cols),0))</f>
        <v>#N/A</v>
      </c>
      <c r="Q20" s="9" t="e">
        <f ca="1">RANK(P20,P:P,0)+COUNTIF($P$2:P20,P20)-1</f>
        <v>#N/A</v>
      </c>
    </row>
    <row r="21" spans="1:17" x14ac:dyDescent="0.3">
      <c r="A21" s="3" t="s">
        <v>335</v>
      </c>
      <c r="B21" s="3" t="s">
        <v>357</v>
      </c>
      <c r="C21" s="141">
        <v>3634</v>
      </c>
      <c r="D21" s="141">
        <v>2165</v>
      </c>
      <c r="E21" s="142">
        <v>0.88855255126953125</v>
      </c>
      <c r="F21" s="142">
        <v>0.85910842895507811</v>
      </c>
      <c r="G21" s="142">
        <v>0.61474960327148442</v>
      </c>
      <c r="H21" s="142">
        <v>0.98475753784179687</v>
      </c>
      <c r="I21" s="142">
        <v>0.98651626586914065</v>
      </c>
      <c r="J21" s="142">
        <v>0.92982940673828129</v>
      </c>
      <c r="K21" s="142">
        <v>1</v>
      </c>
      <c r="L21" s="142">
        <v>0.97468353271484376</v>
      </c>
      <c r="M21" s="142">
        <v>0.58503028869628904</v>
      </c>
      <c r="N21" s="142">
        <v>0.51128234863281252</v>
      </c>
      <c r="P21" s="4" t="e" cm="1">
        <f t="array" aca="1" ref="P21" ca="1">INDEX(INDIRECT(aliance_dq_table),(ROW()-ROW(INDIRECT(aliance_dq_cols))),MATCH(selected_dq_name_xc,INDIRECT(aliance_dq_cols),0))</f>
        <v>#N/A</v>
      </c>
      <c r="Q21" t="e">
        <f ca="1">RANK(P21,P:P,0)+COUNTIF($P$2:P21,P21)-1</f>
        <v>#N/A</v>
      </c>
    </row>
    <row r="22" spans="1:17" x14ac:dyDescent="0.3">
      <c r="A22" s="3" t="s">
        <v>263</v>
      </c>
      <c r="B22" s="3" t="s">
        <v>264</v>
      </c>
      <c r="C22" s="141">
        <v>1876</v>
      </c>
      <c r="D22" s="141">
        <v>1183</v>
      </c>
      <c r="E22" s="142">
        <v>0.94616203308105473</v>
      </c>
      <c r="F22" s="142">
        <v>0.924840087890625</v>
      </c>
      <c r="G22" s="142">
        <v>0.92643920898437504</v>
      </c>
      <c r="H22" s="142">
        <v>1</v>
      </c>
      <c r="I22" s="142">
        <v>0.92697227478027344</v>
      </c>
      <c r="J22" s="142">
        <v>0.97921112060546878</v>
      </c>
      <c r="K22" s="142">
        <v>1</v>
      </c>
      <c r="L22" s="142">
        <v>0.9893389892578125</v>
      </c>
      <c r="M22" s="142">
        <v>0.77771858215332035</v>
      </c>
      <c r="N22" s="142">
        <v>0.4099147033691406</v>
      </c>
      <c r="P22" s="145" t="e" cm="1">
        <f t="array" aca="1" ref="P22" ca="1">INDEX(INDIRECT(aliance_dq_table),(ROW()-ROW(INDIRECT(aliance_dq_cols))),MATCH(selected_dq_name_xc,INDIRECT(aliance_dq_cols),0))</f>
        <v>#N/A</v>
      </c>
      <c r="Q22" s="143" t="e">
        <f ca="1">RANK(P22,P:P,0)+COUNTIF($P$2:P22,P22)-1</f>
        <v>#N/A</v>
      </c>
    </row>
    <row r="27" spans="1:17" x14ac:dyDescent="0.3">
      <c r="G27" s="4">
        <v>100</v>
      </c>
    </row>
  </sheetData>
  <sortState xmlns:xlrd2="http://schemas.microsoft.com/office/spreadsheetml/2017/richdata2" ref="A2:Q22">
    <sortCondition ref="A2:A22"/>
  </sortState>
  <conditionalFormatting sqref="P2:P22">
    <cfRule type="top10" dxfId="12" priority="3" bottom="1" rank="1"/>
    <cfRule type="top10" dxfId="11" priority="4" rank="1"/>
  </conditionalFormatting>
  <conditionalFormatting sqref="Q2:Q22">
    <cfRule type="top10" dxfId="10" priority="1" bottom="1" rank="1"/>
    <cfRule type="top10" dxfId="9" priority="2" rank="1"/>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79998168889431442"/>
  </sheetPr>
  <dimension ref="A1:P4"/>
  <sheetViews>
    <sheetView workbookViewId="0">
      <selection activeCell="D2" sqref="D2"/>
    </sheetView>
  </sheetViews>
  <sheetFormatPr defaultRowHeight="14.4" x14ac:dyDescent="0.3"/>
  <cols>
    <col min="1" max="1" width="12.5546875" bestFit="1" customWidth="1"/>
    <col min="2" max="2" width="11.109375" style="118" bestFit="1" customWidth="1"/>
    <col min="3" max="3" width="11.109375" style="118" customWidth="1"/>
    <col min="4" max="4" width="10" customWidth="1"/>
    <col min="5" max="5" width="9.6640625" bestFit="1" customWidth="1"/>
    <col min="6" max="6" width="11.109375" customWidth="1"/>
    <col min="7" max="7" width="10.109375" customWidth="1"/>
    <col min="8" max="8" width="9.6640625" customWidth="1"/>
    <col min="9" max="9" width="9.6640625" bestFit="1" customWidth="1"/>
    <col min="10" max="10" width="13.109375" customWidth="1"/>
    <col min="11" max="11" width="9.6640625" bestFit="1" customWidth="1"/>
    <col min="12" max="13" width="11.109375" customWidth="1"/>
    <col min="14" max="14" width="8.33203125" customWidth="1"/>
    <col min="15" max="15" width="19.88671875" customWidth="1"/>
    <col min="16" max="16" width="18.88671875" customWidth="1"/>
  </cols>
  <sheetData>
    <row r="1" spans="1:16" x14ac:dyDescent="0.3">
      <c r="A1" s="28" t="s">
        <v>602</v>
      </c>
      <c r="B1" s="179" t="s">
        <v>174</v>
      </c>
      <c r="C1" s="179" t="s">
        <v>594</v>
      </c>
      <c r="D1" s="28" t="s">
        <v>182</v>
      </c>
      <c r="E1" s="28" t="s">
        <v>179</v>
      </c>
      <c r="F1" s="28" t="s">
        <v>178</v>
      </c>
      <c r="G1" s="28" t="s">
        <v>595</v>
      </c>
      <c r="H1" s="28" t="s">
        <v>180</v>
      </c>
      <c r="I1" s="28" t="s">
        <v>173</v>
      </c>
      <c r="J1" s="28" t="s">
        <v>177</v>
      </c>
      <c r="K1" s="28" t="s">
        <v>176</v>
      </c>
      <c r="L1" s="28" t="s">
        <v>175</v>
      </c>
      <c r="M1" s="28" t="s">
        <v>181</v>
      </c>
      <c r="N1" t="s">
        <v>596</v>
      </c>
      <c r="O1" s="10" t="s">
        <v>599</v>
      </c>
      <c r="P1" s="10" t="s">
        <v>600</v>
      </c>
    </row>
    <row r="2" spans="1:16" x14ac:dyDescent="0.3">
      <c r="A2" s="28" t="s">
        <v>603</v>
      </c>
      <c r="B2" s="180">
        <v>34478</v>
      </c>
      <c r="C2" s="180">
        <v>19790</v>
      </c>
      <c r="D2" s="121">
        <v>0.86022972106933593</v>
      </c>
      <c r="E2" s="121">
        <v>0.82667205810546873</v>
      </c>
      <c r="F2" s="121">
        <v>0.64829750061035152</v>
      </c>
      <c r="G2" s="121">
        <v>0.97660430908203122</v>
      </c>
      <c r="H2" s="121">
        <v>0.97372238159179691</v>
      </c>
      <c r="I2" s="121">
        <v>0.90399673461914065</v>
      </c>
      <c r="J2" s="121">
        <v>1</v>
      </c>
      <c r="K2" s="121">
        <v>0.96919776916503908</v>
      </c>
      <c r="L2" s="121">
        <v>0.59330589294433589</v>
      </c>
      <c r="M2" s="121">
        <v>0.4932130813598633</v>
      </c>
      <c r="O2" s="25" t="e" cm="1">
        <f t="array" aca="1" ref="O2" ca="1">INDEX(national_data_quality!$A$1:$M$2,(ROW()*ROW(national_data_quality!$A$1:$M$1)),MATCH(selected_dq_name_xc,national_data_quality!$A$1:$M$1,0))</f>
        <v>#N/A</v>
      </c>
      <c r="P2" s="24" t="s">
        <v>26</v>
      </c>
    </row>
    <row r="4" spans="1:16" x14ac:dyDescent="0.3">
      <c r="A4" s="2"/>
      <c r="D4" s="2"/>
      <c r="E4" s="2"/>
      <c r="F4" s="2"/>
      <c r="G4" s="2"/>
      <c r="H4" s="2"/>
      <c r="I4" s="2"/>
      <c r="J4" s="2"/>
      <c r="K4" s="2"/>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79998168889431442"/>
  </sheetPr>
  <dimension ref="A1:BF127"/>
  <sheetViews>
    <sheetView workbookViewId="0"/>
  </sheetViews>
  <sheetFormatPr defaultRowHeight="14.4" x14ac:dyDescent="0.3"/>
  <cols>
    <col min="1" max="1" width="12.5546875" bestFit="1" customWidth="1"/>
    <col min="2" max="2" width="59" bestFit="1" customWidth="1"/>
    <col min="3" max="3" width="13" bestFit="1" customWidth="1"/>
    <col min="4" max="4" width="8.44140625" bestFit="1" customWidth="1"/>
    <col min="5" max="5" width="17.44140625" bestFit="1" customWidth="1"/>
    <col min="6" max="6" width="15.109375" bestFit="1" customWidth="1"/>
    <col min="7" max="7" width="10.5546875" bestFit="1" customWidth="1"/>
    <col min="8" max="8" width="8.33203125" bestFit="1" customWidth="1"/>
    <col min="9" max="9" width="9" bestFit="1" customWidth="1"/>
    <col min="10" max="11" width="8.109375" bestFit="1" customWidth="1"/>
    <col min="12" max="12" width="8" bestFit="1" customWidth="1"/>
    <col min="13" max="13" width="16.5546875" bestFit="1" customWidth="1"/>
    <col min="14" max="14" width="10.44140625" bestFit="1" customWidth="1"/>
    <col min="15" max="15" width="11.109375" bestFit="1" customWidth="1"/>
    <col min="16" max="17" width="10.33203125" bestFit="1" customWidth="1"/>
    <col min="18" max="18" width="10.109375" bestFit="1" customWidth="1"/>
    <col min="19" max="19" width="11" bestFit="1" customWidth="1"/>
    <col min="20" max="22" width="7.6640625" bestFit="1" customWidth="1"/>
    <col min="23" max="23" width="11" bestFit="1" customWidth="1"/>
    <col min="24" max="24" width="13.109375" bestFit="1" customWidth="1"/>
    <col min="25" max="27" width="9.88671875" bestFit="1" customWidth="1"/>
    <col min="28" max="28" width="13.109375" bestFit="1" customWidth="1"/>
    <col min="29" max="29" width="6.6640625" bestFit="1" customWidth="1"/>
    <col min="30" max="30" width="11.6640625" bestFit="1" customWidth="1"/>
    <col min="31" max="31" width="7.88671875" bestFit="1" customWidth="1"/>
    <col min="32" max="32" width="15.109375" bestFit="1" customWidth="1"/>
    <col min="33" max="33" width="8.88671875" bestFit="1" customWidth="1"/>
    <col min="34" max="34" width="9.33203125" bestFit="1" customWidth="1"/>
    <col min="35" max="35" width="10" bestFit="1" customWidth="1"/>
    <col min="36" max="36" width="13.6640625" bestFit="1" customWidth="1"/>
    <col min="37" max="38" width="5.109375" bestFit="1" customWidth="1"/>
    <col min="39" max="40" width="6.33203125" bestFit="1" customWidth="1"/>
    <col min="41" max="41" width="5.109375" bestFit="1" customWidth="1"/>
    <col min="42" max="42" width="13.44140625" bestFit="1" customWidth="1"/>
    <col min="43" max="44" width="7.33203125" bestFit="1" customWidth="1"/>
    <col min="45" max="46" width="8.44140625" bestFit="1" customWidth="1"/>
    <col min="47" max="47" width="7.33203125" bestFit="1" customWidth="1"/>
    <col min="48" max="52" width="6.33203125" bestFit="1" customWidth="1"/>
    <col min="53" max="53" width="14.5546875" bestFit="1" customWidth="1"/>
    <col min="54" max="58" width="8.44140625" bestFit="1" customWidth="1"/>
    <col min="59" max="63" width="24.109375" customWidth="1"/>
    <col min="64" max="64" width="31.44140625" customWidth="1"/>
  </cols>
  <sheetData>
    <row r="1" spans="1:58" x14ac:dyDescent="0.3">
      <c r="A1" s="30" t="s">
        <v>259</v>
      </c>
      <c r="B1" s="30" t="s">
        <v>258</v>
      </c>
      <c r="C1" s="30" t="s">
        <v>604</v>
      </c>
      <c r="D1" s="30" t="s">
        <v>605</v>
      </c>
      <c r="E1" s="30" t="s">
        <v>606</v>
      </c>
      <c r="F1" s="30" t="s">
        <v>607</v>
      </c>
      <c r="G1" s="30" t="s">
        <v>608</v>
      </c>
      <c r="H1" s="30" t="s">
        <v>609</v>
      </c>
      <c r="I1" s="30" t="s">
        <v>610</v>
      </c>
      <c r="J1" s="30" t="s">
        <v>611</v>
      </c>
      <c r="K1" s="30" t="s">
        <v>612</v>
      </c>
      <c r="L1" s="30" t="s">
        <v>613</v>
      </c>
      <c r="M1" s="30" t="s">
        <v>614</v>
      </c>
      <c r="N1" s="30" t="s">
        <v>615</v>
      </c>
      <c r="O1" s="30" t="s">
        <v>616</v>
      </c>
      <c r="P1" s="30" t="s">
        <v>617</v>
      </c>
      <c r="Q1" s="30" t="s">
        <v>618</v>
      </c>
      <c r="R1" s="30" t="s">
        <v>619</v>
      </c>
      <c r="S1" s="30" t="s">
        <v>620</v>
      </c>
      <c r="T1" s="30" t="s">
        <v>621</v>
      </c>
      <c r="U1" s="30" t="s">
        <v>622</v>
      </c>
      <c r="V1" s="30" t="s">
        <v>623</v>
      </c>
      <c r="W1" s="30" t="s">
        <v>624</v>
      </c>
      <c r="X1" s="30" t="s">
        <v>625</v>
      </c>
      <c r="Y1" s="30" t="s">
        <v>626</v>
      </c>
      <c r="Z1" s="30" t="s">
        <v>627</v>
      </c>
      <c r="AA1" s="30" t="s">
        <v>628</v>
      </c>
      <c r="AB1" s="30" t="s">
        <v>629</v>
      </c>
      <c r="AC1" s="30" t="s">
        <v>630</v>
      </c>
      <c r="AD1" s="30" t="s">
        <v>631</v>
      </c>
      <c r="AE1" s="30" t="s">
        <v>632</v>
      </c>
      <c r="AF1" s="30" t="s">
        <v>633</v>
      </c>
      <c r="AG1" s="30" t="s">
        <v>634</v>
      </c>
      <c r="AH1" s="30" t="s">
        <v>635</v>
      </c>
      <c r="AI1" s="30" t="s">
        <v>636</v>
      </c>
      <c r="AJ1" s="30" t="s">
        <v>637</v>
      </c>
      <c r="AK1" s="30" t="s">
        <v>638</v>
      </c>
      <c r="AL1" s="30" t="s">
        <v>639</v>
      </c>
      <c r="AM1" s="30" t="s">
        <v>640</v>
      </c>
      <c r="AN1" s="30" t="s">
        <v>641</v>
      </c>
      <c r="AO1" s="30" t="s">
        <v>642</v>
      </c>
      <c r="AP1" s="30" t="s">
        <v>643</v>
      </c>
      <c r="AQ1" s="30" t="s">
        <v>644</v>
      </c>
      <c r="AR1" s="30" t="s">
        <v>645</v>
      </c>
      <c r="AS1" s="30" t="s">
        <v>646</v>
      </c>
      <c r="AT1" s="30" t="s">
        <v>647</v>
      </c>
      <c r="AU1" s="30" t="s">
        <v>648</v>
      </c>
      <c r="AV1" s="30" t="s">
        <v>649</v>
      </c>
      <c r="AW1" s="30" t="s">
        <v>650</v>
      </c>
      <c r="AX1" s="30" t="s">
        <v>651</v>
      </c>
      <c r="AY1" s="30" t="s">
        <v>652</v>
      </c>
      <c r="AZ1" s="30" t="s">
        <v>653</v>
      </c>
      <c r="BA1" s="30" t="s">
        <v>654</v>
      </c>
      <c r="BB1" s="30" t="s">
        <v>655</v>
      </c>
      <c r="BC1" s="30" t="s">
        <v>656</v>
      </c>
      <c r="BD1" s="30" t="s">
        <v>657</v>
      </c>
      <c r="BE1" s="30" t="s">
        <v>658</v>
      </c>
      <c r="BF1" s="30" t="s">
        <v>659</v>
      </c>
    </row>
    <row r="2" spans="1:58" x14ac:dyDescent="0.3">
      <c r="A2" s="149" t="s">
        <v>402</v>
      </c>
      <c r="B2" s="149" t="s">
        <v>401</v>
      </c>
      <c r="C2" s="150">
        <v>81</v>
      </c>
      <c r="D2" s="150">
        <v>7</v>
      </c>
      <c r="E2" s="150">
        <v>477</v>
      </c>
      <c r="F2" s="150">
        <v>92.045455932617188</v>
      </c>
      <c r="G2" s="150">
        <v>7.9545454978942871</v>
      </c>
      <c r="H2" s="150">
        <v>452</v>
      </c>
      <c r="I2" s="150">
        <v>12</v>
      </c>
      <c r="J2" s="150">
        <v>20</v>
      </c>
      <c r="K2" s="150">
        <v>65</v>
      </c>
      <c r="L2" s="150">
        <v>6</v>
      </c>
      <c r="M2" s="150">
        <v>10</v>
      </c>
      <c r="N2" s="150">
        <v>81.441444396972656</v>
      </c>
      <c r="O2" s="150">
        <v>2.1621620655059814</v>
      </c>
      <c r="P2" s="150">
        <v>3.6036036014556885</v>
      </c>
      <c r="Q2" s="150">
        <v>11.711711883544922</v>
      </c>
      <c r="R2" s="150">
        <v>1.0810810327529907</v>
      </c>
      <c r="S2" s="150">
        <v>249</v>
      </c>
      <c r="T2" s="150">
        <v>106</v>
      </c>
      <c r="U2" s="150">
        <v>61</v>
      </c>
      <c r="V2" s="150">
        <v>88</v>
      </c>
      <c r="W2" s="150">
        <v>61</v>
      </c>
      <c r="X2" s="150">
        <v>44.070796966552734</v>
      </c>
      <c r="Y2" s="150">
        <v>18.761062622070313</v>
      </c>
      <c r="Z2" s="150">
        <v>10.796460151672363</v>
      </c>
      <c r="AA2" s="150">
        <v>15.575221061706543</v>
      </c>
      <c r="AB2" s="150">
        <v>10.796460151672363</v>
      </c>
      <c r="AC2" s="150">
        <v>39</v>
      </c>
      <c r="AD2" s="150">
        <v>9</v>
      </c>
      <c r="AE2" s="150">
        <v>396</v>
      </c>
      <c r="AF2" s="150">
        <v>121</v>
      </c>
      <c r="AG2" s="150">
        <v>6.9026546478271484</v>
      </c>
      <c r="AH2" s="150">
        <v>1.5929203033447266</v>
      </c>
      <c r="AI2" s="150">
        <v>70.088493347167969</v>
      </c>
      <c r="AJ2" s="150">
        <v>21.415929794311523</v>
      </c>
      <c r="AK2" s="150">
        <v>175</v>
      </c>
      <c r="AL2" s="150">
        <v>43</v>
      </c>
      <c r="AM2" s="150">
        <v>51</v>
      </c>
      <c r="AN2" s="150">
        <v>23</v>
      </c>
      <c r="AO2" s="150">
        <v>128</v>
      </c>
      <c r="AP2" s="150">
        <v>145</v>
      </c>
      <c r="AQ2" s="150">
        <v>41.666667938232422</v>
      </c>
      <c r="AR2" s="150">
        <v>10.238095283508301</v>
      </c>
      <c r="AS2" s="150">
        <v>12.142857551574707</v>
      </c>
      <c r="AT2" s="150">
        <v>5.4761905670166016</v>
      </c>
      <c r="AU2" s="150">
        <v>30.476190567016602</v>
      </c>
      <c r="AV2" s="150">
        <v>118</v>
      </c>
      <c r="AW2" s="150">
        <v>179</v>
      </c>
      <c r="AX2" s="150">
        <v>92</v>
      </c>
      <c r="AY2" s="150">
        <v>82</v>
      </c>
      <c r="AZ2" s="150">
        <v>15</v>
      </c>
      <c r="BA2" s="150">
        <v>79</v>
      </c>
      <c r="BB2" s="150">
        <v>24.279834747314453</v>
      </c>
      <c r="BC2" s="150">
        <v>36.831275939941406</v>
      </c>
      <c r="BD2" s="150">
        <v>18.93004035949707</v>
      </c>
      <c r="BE2" s="150">
        <v>16.872428894042969</v>
      </c>
      <c r="BF2" s="150">
        <v>3.0864198207855225</v>
      </c>
    </row>
    <row r="3" spans="1:58" x14ac:dyDescent="0.3">
      <c r="A3" s="151" t="s">
        <v>472</v>
      </c>
      <c r="B3" s="151" t="s">
        <v>471</v>
      </c>
      <c r="C3" s="152">
        <v>402</v>
      </c>
      <c r="D3" s="152">
        <v>23</v>
      </c>
      <c r="E3" s="152">
        <v>39</v>
      </c>
      <c r="F3" s="152">
        <v>94.588233947753906</v>
      </c>
      <c r="G3" s="152">
        <v>5.4117646217346191</v>
      </c>
      <c r="H3" s="152">
        <v>462</v>
      </c>
      <c r="I3" s="152"/>
      <c r="J3" s="152">
        <v>2</v>
      </c>
      <c r="K3" s="152"/>
      <c r="L3" s="152"/>
      <c r="M3" s="152"/>
      <c r="N3" s="152">
        <v>99.568962097167969</v>
      </c>
      <c r="O3" s="152"/>
      <c r="P3" s="152">
        <v>0.43103447556495667</v>
      </c>
      <c r="Q3" s="152"/>
      <c r="R3" s="152"/>
      <c r="S3" s="152">
        <v>226</v>
      </c>
      <c r="T3" s="152">
        <v>124</v>
      </c>
      <c r="U3" s="152">
        <v>55</v>
      </c>
      <c r="V3" s="152">
        <v>40</v>
      </c>
      <c r="W3" s="152">
        <v>19</v>
      </c>
      <c r="X3" s="152">
        <v>48.706897735595703</v>
      </c>
      <c r="Y3" s="152">
        <v>26.724138259887695</v>
      </c>
      <c r="Z3" s="152">
        <v>11.853447914123535</v>
      </c>
      <c r="AA3" s="152">
        <v>8.6206893920898438</v>
      </c>
      <c r="AB3" s="152">
        <v>4.0948276519775391</v>
      </c>
      <c r="AC3" s="152">
        <v>49</v>
      </c>
      <c r="AD3" s="152">
        <v>2</v>
      </c>
      <c r="AE3" s="152">
        <v>230</v>
      </c>
      <c r="AF3" s="152">
        <v>183</v>
      </c>
      <c r="AG3" s="152">
        <v>10.560344696044922</v>
      </c>
      <c r="AH3" s="152">
        <v>0.43103447556495667</v>
      </c>
      <c r="AI3" s="152">
        <v>49.568965911865234</v>
      </c>
      <c r="AJ3" s="152">
        <v>39.439655303955078</v>
      </c>
      <c r="AK3" s="152">
        <v>73</v>
      </c>
      <c r="AL3" s="152">
        <v>38</v>
      </c>
      <c r="AM3" s="152">
        <v>53</v>
      </c>
      <c r="AN3" s="152">
        <v>39</v>
      </c>
      <c r="AO3" s="152">
        <v>235</v>
      </c>
      <c r="AP3" s="152">
        <v>26</v>
      </c>
      <c r="AQ3" s="152">
        <v>16.666666030883789</v>
      </c>
      <c r="AR3" s="152">
        <v>8.6757993698120117</v>
      </c>
      <c r="AS3" s="152">
        <v>12.100456237792969</v>
      </c>
      <c r="AT3" s="152">
        <v>8.9041099548339844</v>
      </c>
      <c r="AU3" s="152">
        <v>53.652969360351563</v>
      </c>
      <c r="AV3" s="152">
        <v>52</v>
      </c>
      <c r="AW3" s="152">
        <v>135</v>
      </c>
      <c r="AX3" s="152">
        <v>107</v>
      </c>
      <c r="AY3" s="152">
        <v>123</v>
      </c>
      <c r="AZ3" s="152">
        <v>36</v>
      </c>
      <c r="BA3" s="152">
        <v>11</v>
      </c>
      <c r="BB3" s="152">
        <v>11.479028701782227</v>
      </c>
      <c r="BC3" s="152">
        <v>29.801324844360352</v>
      </c>
      <c r="BD3" s="152">
        <v>23.620309829711914</v>
      </c>
      <c r="BE3" s="152">
        <v>27.152317047119141</v>
      </c>
      <c r="BF3" s="152">
        <v>7.9470200538635254</v>
      </c>
    </row>
    <row r="4" spans="1:58" x14ac:dyDescent="0.3">
      <c r="A4" s="153" t="s">
        <v>524</v>
      </c>
      <c r="B4" s="153" t="s">
        <v>523</v>
      </c>
      <c r="C4" s="154">
        <v>171</v>
      </c>
      <c r="D4" s="154">
        <v>19</v>
      </c>
      <c r="E4" s="154">
        <v>146</v>
      </c>
      <c r="F4" s="154">
        <v>90</v>
      </c>
      <c r="G4" s="154">
        <v>10</v>
      </c>
      <c r="H4" s="154">
        <v>244</v>
      </c>
      <c r="I4" s="154">
        <v>25</v>
      </c>
      <c r="J4" s="154">
        <v>22</v>
      </c>
      <c r="K4" s="154">
        <v>10</v>
      </c>
      <c r="L4" s="154">
        <v>11</v>
      </c>
      <c r="M4" s="154">
        <v>24</v>
      </c>
      <c r="N4" s="154">
        <v>78.205131530761719</v>
      </c>
      <c r="O4" s="154">
        <v>8.0128202438354492</v>
      </c>
      <c r="P4" s="154">
        <v>7.0512819290161133</v>
      </c>
      <c r="Q4" s="154">
        <v>3.2051281929016113</v>
      </c>
      <c r="R4" s="154">
        <v>3.5256409645080566</v>
      </c>
      <c r="S4" s="154">
        <v>28</v>
      </c>
      <c r="T4" s="154">
        <v>58</v>
      </c>
      <c r="U4" s="154">
        <v>74</v>
      </c>
      <c r="V4" s="154">
        <v>85</v>
      </c>
      <c r="W4" s="154">
        <v>91</v>
      </c>
      <c r="X4" s="154">
        <v>8.3333330154418945</v>
      </c>
      <c r="Y4" s="154">
        <v>17.261905670166016</v>
      </c>
      <c r="Z4" s="154">
        <v>22.023809432983398</v>
      </c>
      <c r="AA4" s="154">
        <v>25.297618865966797</v>
      </c>
      <c r="AB4" s="154">
        <v>27.083333969116211</v>
      </c>
      <c r="AC4" s="154">
        <v>24</v>
      </c>
      <c r="AD4" s="154">
        <v>3</v>
      </c>
      <c r="AE4" s="154">
        <v>158</v>
      </c>
      <c r="AF4" s="154">
        <v>151</v>
      </c>
      <c r="AG4" s="154">
        <v>7.1428570747375488</v>
      </c>
      <c r="AH4" s="154">
        <v>0.8928571343421936</v>
      </c>
      <c r="AI4" s="154">
        <v>47.023811340332031</v>
      </c>
      <c r="AJ4" s="154">
        <v>44.940475463867188</v>
      </c>
      <c r="AK4" s="154">
        <v>61</v>
      </c>
      <c r="AL4" s="154">
        <v>20</v>
      </c>
      <c r="AM4" s="154">
        <v>42</v>
      </c>
      <c r="AN4" s="154">
        <v>34</v>
      </c>
      <c r="AO4" s="154">
        <v>143</v>
      </c>
      <c r="AP4" s="154">
        <v>36</v>
      </c>
      <c r="AQ4" s="154">
        <v>20.333333969116211</v>
      </c>
      <c r="AR4" s="154">
        <v>6.6666665077209473</v>
      </c>
      <c r="AS4" s="154">
        <v>14</v>
      </c>
      <c r="AT4" s="154">
        <v>11.333333015441895</v>
      </c>
      <c r="AU4" s="154">
        <v>47.666667938232422</v>
      </c>
      <c r="AV4" s="154">
        <v>63</v>
      </c>
      <c r="AW4" s="154">
        <v>71</v>
      </c>
      <c r="AX4" s="154">
        <v>44</v>
      </c>
      <c r="AY4" s="154">
        <v>32</v>
      </c>
      <c r="AZ4" s="154">
        <v>19</v>
      </c>
      <c r="BA4" s="154">
        <v>107</v>
      </c>
      <c r="BB4" s="154">
        <v>27.510917663574219</v>
      </c>
      <c r="BC4" s="154">
        <v>31.004365921020508</v>
      </c>
      <c r="BD4" s="154">
        <v>19.213973999023438</v>
      </c>
      <c r="BE4" s="154">
        <v>13.973798751831055</v>
      </c>
      <c r="BF4" s="154">
        <v>8.2969436645507813</v>
      </c>
    </row>
    <row r="5" spans="1:58" x14ac:dyDescent="0.3">
      <c r="A5" s="151" t="s">
        <v>378</v>
      </c>
      <c r="B5" s="151" t="s">
        <v>377</v>
      </c>
      <c r="C5" s="152">
        <v>27</v>
      </c>
      <c r="D5" s="152">
        <v>1</v>
      </c>
      <c r="E5" s="152">
        <v>80</v>
      </c>
      <c r="F5" s="152">
        <v>96.428573608398438</v>
      </c>
      <c r="G5" s="152">
        <v>3.5714285373687744</v>
      </c>
      <c r="H5" s="152">
        <v>102</v>
      </c>
      <c r="I5" s="152">
        <v>1</v>
      </c>
      <c r="J5" s="152">
        <v>1</v>
      </c>
      <c r="K5" s="152">
        <v>2</v>
      </c>
      <c r="L5" s="152"/>
      <c r="M5" s="152">
        <v>2</v>
      </c>
      <c r="N5" s="152">
        <v>96.226417541503906</v>
      </c>
      <c r="O5" s="152">
        <v>0.94339621067047119</v>
      </c>
      <c r="P5" s="152">
        <v>0.94339621067047119</v>
      </c>
      <c r="Q5" s="152">
        <v>1.8867924213409424</v>
      </c>
      <c r="R5" s="152"/>
      <c r="S5" s="152">
        <v>13</v>
      </c>
      <c r="T5" s="152">
        <v>47</v>
      </c>
      <c r="U5" s="152">
        <v>28</v>
      </c>
      <c r="V5" s="152">
        <v>15</v>
      </c>
      <c r="W5" s="152">
        <v>5</v>
      </c>
      <c r="X5" s="152">
        <v>12.037036895751953</v>
      </c>
      <c r="Y5" s="152">
        <v>43.518520355224609</v>
      </c>
      <c r="Z5" s="152">
        <v>25.925926208496094</v>
      </c>
      <c r="AA5" s="152">
        <v>13.888889312744141</v>
      </c>
      <c r="AB5" s="152">
        <v>4.6296296119689941</v>
      </c>
      <c r="AC5" s="152">
        <v>8</v>
      </c>
      <c r="AD5" s="152">
        <v>4</v>
      </c>
      <c r="AE5" s="152">
        <v>70</v>
      </c>
      <c r="AF5" s="152">
        <v>26</v>
      </c>
      <c r="AG5" s="152">
        <v>7.407407283782959</v>
      </c>
      <c r="AH5" s="152">
        <v>3.7037036418914795</v>
      </c>
      <c r="AI5" s="152">
        <v>64.814811706542969</v>
      </c>
      <c r="AJ5" s="152">
        <v>24.074073791503906</v>
      </c>
      <c r="AK5" s="152">
        <v>22</v>
      </c>
      <c r="AL5" s="152">
        <v>7</v>
      </c>
      <c r="AM5" s="152">
        <v>11</v>
      </c>
      <c r="AN5" s="152">
        <v>4</v>
      </c>
      <c r="AO5" s="152">
        <v>51</v>
      </c>
      <c r="AP5" s="152">
        <v>13</v>
      </c>
      <c r="AQ5" s="152">
        <v>23.157894134521484</v>
      </c>
      <c r="AR5" s="152">
        <v>7.3684210777282715</v>
      </c>
      <c r="AS5" s="152">
        <v>11.578947067260742</v>
      </c>
      <c r="AT5" s="152">
        <v>4.2105264663696289</v>
      </c>
      <c r="AU5" s="152">
        <v>53.684211730957031</v>
      </c>
      <c r="AV5" s="152">
        <v>21</v>
      </c>
      <c r="AW5" s="152">
        <v>32</v>
      </c>
      <c r="AX5" s="152">
        <v>15</v>
      </c>
      <c r="AY5" s="152">
        <v>12</v>
      </c>
      <c r="AZ5" s="152"/>
      <c r="BA5" s="152">
        <v>28</v>
      </c>
      <c r="BB5" s="152">
        <v>26.25</v>
      </c>
      <c r="BC5" s="152">
        <v>40</v>
      </c>
      <c r="BD5" s="152">
        <v>18.75</v>
      </c>
      <c r="BE5" s="152">
        <v>15</v>
      </c>
      <c r="BF5" s="152"/>
    </row>
    <row r="6" spans="1:58" x14ac:dyDescent="0.3">
      <c r="A6" s="153" t="s">
        <v>281</v>
      </c>
      <c r="B6" s="153" t="s">
        <v>280</v>
      </c>
      <c r="C6" s="154">
        <v>133</v>
      </c>
      <c r="D6" s="154">
        <v>15</v>
      </c>
      <c r="E6" s="154">
        <v>284</v>
      </c>
      <c r="F6" s="154">
        <v>89.8648681640625</v>
      </c>
      <c r="G6" s="154">
        <v>10.135134696960449</v>
      </c>
      <c r="H6" s="154">
        <v>313</v>
      </c>
      <c r="I6" s="154">
        <v>3</v>
      </c>
      <c r="J6" s="154">
        <v>53</v>
      </c>
      <c r="K6" s="154">
        <v>36</v>
      </c>
      <c r="L6" s="154">
        <v>22</v>
      </c>
      <c r="M6" s="154">
        <v>5</v>
      </c>
      <c r="N6" s="154">
        <v>73.302108764648438</v>
      </c>
      <c r="O6" s="154">
        <v>0.70257610082626343</v>
      </c>
      <c r="P6" s="154">
        <v>12.412178039550781</v>
      </c>
      <c r="Q6" s="154">
        <v>8.430912971496582</v>
      </c>
      <c r="R6" s="154">
        <v>5.1522250175476074</v>
      </c>
      <c r="S6" s="154">
        <v>110</v>
      </c>
      <c r="T6" s="154">
        <v>175</v>
      </c>
      <c r="U6" s="154">
        <v>73</v>
      </c>
      <c r="V6" s="154">
        <v>43</v>
      </c>
      <c r="W6" s="154">
        <v>31</v>
      </c>
      <c r="X6" s="154">
        <v>25.462963104248047</v>
      </c>
      <c r="Y6" s="154">
        <v>40.509258270263672</v>
      </c>
      <c r="Z6" s="154">
        <v>16.898147583007813</v>
      </c>
      <c r="AA6" s="154">
        <v>9.9537038803100586</v>
      </c>
      <c r="AB6" s="154">
        <v>7.1759257316589355</v>
      </c>
      <c r="AC6" s="154">
        <v>25</v>
      </c>
      <c r="AD6" s="154">
        <v>11</v>
      </c>
      <c r="AE6" s="154">
        <v>301</v>
      </c>
      <c r="AF6" s="154">
        <v>95</v>
      </c>
      <c r="AG6" s="154">
        <v>5.7870368957519531</v>
      </c>
      <c r="AH6" s="154">
        <v>2.5462963581085205</v>
      </c>
      <c r="AI6" s="154">
        <v>69.675926208496094</v>
      </c>
      <c r="AJ6" s="154">
        <v>21.990739822387695</v>
      </c>
      <c r="AK6" s="154">
        <v>144</v>
      </c>
      <c r="AL6" s="154">
        <v>32</v>
      </c>
      <c r="AM6" s="154">
        <v>46</v>
      </c>
      <c r="AN6" s="154">
        <v>28</v>
      </c>
      <c r="AO6" s="154">
        <v>147</v>
      </c>
      <c r="AP6" s="154">
        <v>35</v>
      </c>
      <c r="AQ6" s="154">
        <v>36.272041320800781</v>
      </c>
      <c r="AR6" s="154">
        <v>8.0604534149169922</v>
      </c>
      <c r="AS6" s="154">
        <v>11.586901664733887</v>
      </c>
      <c r="AT6" s="154">
        <v>7.0528964996337891</v>
      </c>
      <c r="AU6" s="154">
        <v>37.027706146240234</v>
      </c>
      <c r="AV6" s="154">
        <v>62</v>
      </c>
      <c r="AW6" s="154">
        <v>62</v>
      </c>
      <c r="AX6" s="154">
        <v>18</v>
      </c>
      <c r="AY6" s="154">
        <v>10</v>
      </c>
      <c r="AZ6" s="154">
        <v>6</v>
      </c>
      <c r="BA6" s="154">
        <v>274</v>
      </c>
      <c r="BB6" s="154">
        <v>39.240505218505859</v>
      </c>
      <c r="BC6" s="154">
        <v>39.240505218505859</v>
      </c>
      <c r="BD6" s="154">
        <v>11.39240550994873</v>
      </c>
      <c r="BE6" s="154">
        <v>6.3291139602661133</v>
      </c>
      <c r="BF6" s="154">
        <v>3.7974684238433838</v>
      </c>
    </row>
    <row r="7" spans="1:58" x14ac:dyDescent="0.3">
      <c r="A7" s="151" t="s">
        <v>398</v>
      </c>
      <c r="B7" s="151" t="s">
        <v>397</v>
      </c>
      <c r="C7" s="152">
        <v>1</v>
      </c>
      <c r="D7" s="152"/>
      <c r="E7" s="152">
        <v>198</v>
      </c>
      <c r="F7" s="152"/>
      <c r="G7" s="152"/>
      <c r="H7" s="152">
        <v>109</v>
      </c>
      <c r="I7" s="152">
        <v>5</v>
      </c>
      <c r="J7" s="152">
        <v>52</v>
      </c>
      <c r="K7" s="152">
        <v>12</v>
      </c>
      <c r="L7" s="152">
        <v>17</v>
      </c>
      <c r="M7" s="152">
        <v>4</v>
      </c>
      <c r="N7" s="152">
        <v>55.897434234619141</v>
      </c>
      <c r="O7" s="152">
        <v>2.5641026496887207</v>
      </c>
      <c r="P7" s="152">
        <v>26.666666030883789</v>
      </c>
      <c r="Q7" s="152">
        <v>6.153846263885498</v>
      </c>
      <c r="R7" s="152">
        <v>8.7179489135742188</v>
      </c>
      <c r="S7" s="152">
        <v>27</v>
      </c>
      <c r="T7" s="152">
        <v>60</v>
      </c>
      <c r="U7" s="152">
        <v>59</v>
      </c>
      <c r="V7" s="152">
        <v>36</v>
      </c>
      <c r="W7" s="152">
        <v>17</v>
      </c>
      <c r="X7" s="152">
        <v>13.567839622497559</v>
      </c>
      <c r="Y7" s="152">
        <v>30.150753021240234</v>
      </c>
      <c r="Z7" s="152">
        <v>29.64824104309082</v>
      </c>
      <c r="AA7" s="152">
        <v>18.090452194213867</v>
      </c>
      <c r="AB7" s="152">
        <v>8.5427131652832031</v>
      </c>
      <c r="AC7" s="152">
        <v>11</v>
      </c>
      <c r="AD7" s="152">
        <v>1</v>
      </c>
      <c r="AE7" s="152">
        <v>60</v>
      </c>
      <c r="AF7" s="152">
        <v>127</v>
      </c>
      <c r="AG7" s="152">
        <v>5.5276379585266113</v>
      </c>
      <c r="AH7" s="152">
        <v>0.50251257419586182</v>
      </c>
      <c r="AI7" s="152">
        <v>30.150753021240234</v>
      </c>
      <c r="AJ7" s="152">
        <v>63.819095611572266</v>
      </c>
      <c r="AK7" s="152">
        <v>15</v>
      </c>
      <c r="AL7" s="152">
        <v>9</v>
      </c>
      <c r="AM7" s="152">
        <v>17</v>
      </c>
      <c r="AN7" s="152">
        <v>11</v>
      </c>
      <c r="AO7" s="152">
        <v>60</v>
      </c>
      <c r="AP7" s="152">
        <v>87</v>
      </c>
      <c r="AQ7" s="152">
        <v>13.392857551574707</v>
      </c>
      <c r="AR7" s="152">
        <v>8.0357141494750977</v>
      </c>
      <c r="AS7" s="152">
        <v>15.178571701049805</v>
      </c>
      <c r="AT7" s="152">
        <v>9.8214282989501953</v>
      </c>
      <c r="AU7" s="152">
        <v>53.571430206298828</v>
      </c>
      <c r="AV7" s="152">
        <v>43</v>
      </c>
      <c r="AW7" s="152">
        <v>45</v>
      </c>
      <c r="AX7" s="152">
        <v>18</v>
      </c>
      <c r="AY7" s="152">
        <v>32</v>
      </c>
      <c r="AZ7" s="152">
        <v>9</v>
      </c>
      <c r="BA7" s="152">
        <v>52</v>
      </c>
      <c r="BB7" s="152">
        <v>29.251701354980469</v>
      </c>
      <c r="BC7" s="152">
        <v>30.612245559692383</v>
      </c>
      <c r="BD7" s="152">
        <v>12.244897842407227</v>
      </c>
      <c r="BE7" s="152">
        <v>21.768707275390625</v>
      </c>
      <c r="BF7" s="152">
        <v>6.1224489212036133</v>
      </c>
    </row>
    <row r="8" spans="1:58" x14ac:dyDescent="0.3">
      <c r="A8" s="153" t="s">
        <v>452</v>
      </c>
      <c r="B8" s="153" t="s">
        <v>451</v>
      </c>
      <c r="C8" s="154">
        <v>32</v>
      </c>
      <c r="D8" s="154">
        <v>1</v>
      </c>
      <c r="E8" s="154">
        <v>82</v>
      </c>
      <c r="F8" s="154">
        <v>96.969696044921875</v>
      </c>
      <c r="G8" s="154">
        <v>3.0303030014038086</v>
      </c>
      <c r="H8" s="154">
        <v>107</v>
      </c>
      <c r="I8" s="154">
        <v>2</v>
      </c>
      <c r="J8" s="154">
        <v>1</v>
      </c>
      <c r="K8" s="154"/>
      <c r="L8" s="154"/>
      <c r="M8" s="154">
        <v>5</v>
      </c>
      <c r="N8" s="154">
        <v>97.272727966308594</v>
      </c>
      <c r="O8" s="154">
        <v>1.8181818723678589</v>
      </c>
      <c r="P8" s="154">
        <v>0.90909093618392944</v>
      </c>
      <c r="Q8" s="154"/>
      <c r="R8" s="154"/>
      <c r="S8" s="154">
        <v>2</v>
      </c>
      <c r="T8" s="154">
        <v>9</v>
      </c>
      <c r="U8" s="154">
        <v>12</v>
      </c>
      <c r="V8" s="154">
        <v>33</v>
      </c>
      <c r="W8" s="154">
        <v>59</v>
      </c>
      <c r="X8" s="154">
        <v>1.7391303777694702</v>
      </c>
      <c r="Y8" s="154">
        <v>7.8260869979858398</v>
      </c>
      <c r="Z8" s="154">
        <v>10.434782981872559</v>
      </c>
      <c r="AA8" s="154">
        <v>28.695652008056641</v>
      </c>
      <c r="AB8" s="154">
        <v>51.304347991943359</v>
      </c>
      <c r="AC8" s="154">
        <v>14</v>
      </c>
      <c r="AD8" s="154">
        <v>1</v>
      </c>
      <c r="AE8" s="154">
        <v>65</v>
      </c>
      <c r="AF8" s="154">
        <v>35</v>
      </c>
      <c r="AG8" s="154">
        <v>12.17391300201416</v>
      </c>
      <c r="AH8" s="154">
        <v>0.86956518888473511</v>
      </c>
      <c r="AI8" s="154">
        <v>56.521739959716797</v>
      </c>
      <c r="AJ8" s="154">
        <v>30.434782028198242</v>
      </c>
      <c r="AK8" s="154">
        <v>18</v>
      </c>
      <c r="AL8" s="154">
        <v>9</v>
      </c>
      <c r="AM8" s="154">
        <v>11</v>
      </c>
      <c r="AN8" s="154">
        <v>9</v>
      </c>
      <c r="AO8" s="154">
        <v>56</v>
      </c>
      <c r="AP8" s="154">
        <v>12</v>
      </c>
      <c r="AQ8" s="154">
        <v>17.475728988647461</v>
      </c>
      <c r="AR8" s="154">
        <v>8.7378644943237305</v>
      </c>
      <c r="AS8" s="154">
        <v>10.679611206054688</v>
      </c>
      <c r="AT8" s="154">
        <v>8.7378644943237305</v>
      </c>
      <c r="AU8" s="154">
        <v>54.368930816650391</v>
      </c>
      <c r="AV8" s="154">
        <v>41</v>
      </c>
      <c r="AW8" s="154">
        <v>36</v>
      </c>
      <c r="AX8" s="154">
        <v>11</v>
      </c>
      <c r="AY8" s="154">
        <v>14</v>
      </c>
      <c r="AZ8" s="154">
        <v>5</v>
      </c>
      <c r="BA8" s="154">
        <v>8</v>
      </c>
      <c r="BB8" s="154">
        <v>38.317756652832031</v>
      </c>
      <c r="BC8" s="154">
        <v>33.644859313964844</v>
      </c>
      <c r="BD8" s="154">
        <v>10.280373573303223</v>
      </c>
      <c r="BE8" s="154">
        <v>13.084112167358398</v>
      </c>
      <c r="BF8" s="154">
        <v>4.6728973388671875</v>
      </c>
    </row>
    <row r="9" spans="1:58" x14ac:dyDescent="0.3">
      <c r="A9" s="151" t="s">
        <v>552</v>
      </c>
      <c r="B9" s="151" t="s">
        <v>551</v>
      </c>
      <c r="C9" s="152">
        <v>37</v>
      </c>
      <c r="D9" s="152">
        <v>5</v>
      </c>
      <c r="E9" s="152">
        <v>52</v>
      </c>
      <c r="F9" s="152">
        <v>88.095237731933594</v>
      </c>
      <c r="G9" s="152">
        <v>11.904762268066406</v>
      </c>
      <c r="H9" s="152">
        <v>67</v>
      </c>
      <c r="I9" s="152">
        <v>7</v>
      </c>
      <c r="J9" s="152">
        <v>4</v>
      </c>
      <c r="K9" s="152">
        <v>2</v>
      </c>
      <c r="L9" s="152">
        <v>3</v>
      </c>
      <c r="M9" s="152">
        <v>11</v>
      </c>
      <c r="N9" s="152">
        <v>80.722892761230469</v>
      </c>
      <c r="O9" s="152">
        <v>8.4337348937988281</v>
      </c>
      <c r="P9" s="152">
        <v>4.819277286529541</v>
      </c>
      <c r="Q9" s="152">
        <v>2.4096386432647705</v>
      </c>
      <c r="R9" s="152">
        <v>3.6144578456878662</v>
      </c>
      <c r="S9" s="152">
        <v>5</v>
      </c>
      <c r="T9" s="152">
        <v>19</v>
      </c>
      <c r="U9" s="152">
        <v>36</v>
      </c>
      <c r="V9" s="152">
        <v>24</v>
      </c>
      <c r="W9" s="152">
        <v>10</v>
      </c>
      <c r="X9" s="152">
        <v>5.3191490173339844</v>
      </c>
      <c r="Y9" s="152">
        <v>20.212766647338867</v>
      </c>
      <c r="Z9" s="152">
        <v>38.297870635986328</v>
      </c>
      <c r="AA9" s="152">
        <v>25.531915664672852</v>
      </c>
      <c r="AB9" s="152">
        <v>10.638298034667969</v>
      </c>
      <c r="AC9" s="152">
        <v>5</v>
      </c>
      <c r="AD9" s="152"/>
      <c r="AE9" s="152">
        <v>53</v>
      </c>
      <c r="AF9" s="152">
        <v>36</v>
      </c>
      <c r="AG9" s="152">
        <v>5.3191490173339844</v>
      </c>
      <c r="AH9" s="152"/>
      <c r="AI9" s="152">
        <v>56.382980346679688</v>
      </c>
      <c r="AJ9" s="152">
        <v>38.297870635986328</v>
      </c>
      <c r="AK9" s="152">
        <v>10</v>
      </c>
      <c r="AL9" s="152">
        <v>11</v>
      </c>
      <c r="AM9" s="152">
        <v>11</v>
      </c>
      <c r="AN9" s="152">
        <v>10</v>
      </c>
      <c r="AO9" s="152">
        <v>50</v>
      </c>
      <c r="AP9" s="152">
        <v>2</v>
      </c>
      <c r="AQ9" s="152">
        <v>10.869565010070801</v>
      </c>
      <c r="AR9" s="152">
        <v>11.956521987915039</v>
      </c>
      <c r="AS9" s="152">
        <v>11.956521987915039</v>
      </c>
      <c r="AT9" s="152">
        <v>10.869565010070801</v>
      </c>
      <c r="AU9" s="152">
        <v>54.347827911376953</v>
      </c>
      <c r="AV9" s="152">
        <v>25</v>
      </c>
      <c r="AW9" s="152">
        <v>25</v>
      </c>
      <c r="AX9" s="152">
        <v>15</v>
      </c>
      <c r="AY9" s="152">
        <v>14</v>
      </c>
      <c r="AZ9" s="152">
        <v>6</v>
      </c>
      <c r="BA9" s="152">
        <v>9</v>
      </c>
      <c r="BB9" s="152">
        <v>29.411764144897461</v>
      </c>
      <c r="BC9" s="152">
        <v>29.411764144897461</v>
      </c>
      <c r="BD9" s="152">
        <v>17.647058486938477</v>
      </c>
      <c r="BE9" s="152">
        <v>16.470588684082031</v>
      </c>
      <c r="BF9" s="152">
        <v>7.0588235855102539</v>
      </c>
    </row>
    <row r="10" spans="1:58" x14ac:dyDescent="0.3">
      <c r="A10" s="153" t="s">
        <v>520</v>
      </c>
      <c r="B10" s="153" t="s">
        <v>519</v>
      </c>
      <c r="C10" s="154">
        <v>67</v>
      </c>
      <c r="D10" s="154">
        <v>4</v>
      </c>
      <c r="E10" s="154">
        <v>266</v>
      </c>
      <c r="F10" s="154">
        <v>94.366195678710938</v>
      </c>
      <c r="G10" s="154">
        <v>5.6338028907775879</v>
      </c>
      <c r="H10" s="154">
        <v>297</v>
      </c>
      <c r="I10" s="154">
        <v>7</v>
      </c>
      <c r="J10" s="154">
        <v>8</v>
      </c>
      <c r="K10" s="154">
        <v>7</v>
      </c>
      <c r="L10" s="154">
        <v>5</v>
      </c>
      <c r="M10" s="154">
        <v>13</v>
      </c>
      <c r="N10" s="154">
        <v>91.666664123535156</v>
      </c>
      <c r="O10" s="154">
        <v>2.1604938507080078</v>
      </c>
      <c r="P10" s="154">
        <v>2.4691357612609863</v>
      </c>
      <c r="Q10" s="154">
        <v>2.1604938507080078</v>
      </c>
      <c r="R10" s="154">
        <v>1.5432099103927612</v>
      </c>
      <c r="S10" s="154">
        <v>87</v>
      </c>
      <c r="T10" s="154">
        <v>69</v>
      </c>
      <c r="U10" s="154">
        <v>51</v>
      </c>
      <c r="V10" s="154">
        <v>90</v>
      </c>
      <c r="W10" s="154">
        <v>40</v>
      </c>
      <c r="X10" s="154">
        <v>25.816022872924805</v>
      </c>
      <c r="Y10" s="154">
        <v>20.474777221679688</v>
      </c>
      <c r="Z10" s="154">
        <v>15.13353157043457</v>
      </c>
      <c r="AA10" s="154">
        <v>26.706232070922852</v>
      </c>
      <c r="AB10" s="154">
        <v>11.869436264038086</v>
      </c>
      <c r="AC10" s="154">
        <v>24</v>
      </c>
      <c r="AD10" s="154">
        <v>6</v>
      </c>
      <c r="AE10" s="154">
        <v>183</v>
      </c>
      <c r="AF10" s="154">
        <v>124</v>
      </c>
      <c r="AG10" s="154">
        <v>7.1216616630554199</v>
      </c>
      <c r="AH10" s="154">
        <v>1.780415415763855</v>
      </c>
      <c r="AI10" s="154">
        <v>54.302669525146484</v>
      </c>
      <c r="AJ10" s="154">
        <v>36.795253753662109</v>
      </c>
      <c r="AK10" s="154">
        <v>72</v>
      </c>
      <c r="AL10" s="154">
        <v>23</v>
      </c>
      <c r="AM10" s="154">
        <v>26</v>
      </c>
      <c r="AN10" s="154">
        <v>21</v>
      </c>
      <c r="AO10" s="154">
        <v>110</v>
      </c>
      <c r="AP10" s="154">
        <v>85</v>
      </c>
      <c r="AQ10" s="154">
        <v>28.571428298950195</v>
      </c>
      <c r="AR10" s="154">
        <v>9.1269845962524414</v>
      </c>
      <c r="AS10" s="154">
        <v>10.317460060119629</v>
      </c>
      <c r="AT10" s="154">
        <v>8.3333330154418945</v>
      </c>
      <c r="AU10" s="154">
        <v>43.650794982910156</v>
      </c>
      <c r="AV10" s="154">
        <v>81</v>
      </c>
      <c r="AW10" s="154">
        <v>77</v>
      </c>
      <c r="AX10" s="154">
        <v>56</v>
      </c>
      <c r="AY10" s="154">
        <v>75</v>
      </c>
      <c r="AZ10" s="154">
        <v>8</v>
      </c>
      <c r="BA10" s="154">
        <v>40</v>
      </c>
      <c r="BB10" s="154">
        <v>27.272727966308594</v>
      </c>
      <c r="BC10" s="154">
        <v>25.925926208496094</v>
      </c>
      <c r="BD10" s="154">
        <v>18.855218887329102</v>
      </c>
      <c r="BE10" s="154">
        <v>25.252525329589844</v>
      </c>
      <c r="BF10" s="154">
        <v>2.6936028003692627</v>
      </c>
    </row>
    <row r="11" spans="1:58" x14ac:dyDescent="0.3">
      <c r="A11" s="151" t="s">
        <v>510</v>
      </c>
      <c r="B11" s="151" t="s">
        <v>509</v>
      </c>
      <c r="C11" s="152">
        <v>50</v>
      </c>
      <c r="D11" s="152">
        <v>11</v>
      </c>
      <c r="E11" s="152">
        <v>158</v>
      </c>
      <c r="F11" s="152">
        <v>81.967216491699219</v>
      </c>
      <c r="G11" s="152">
        <v>18.032787322998047</v>
      </c>
      <c r="H11" s="152">
        <v>211</v>
      </c>
      <c r="I11" s="152"/>
      <c r="J11" s="152"/>
      <c r="K11" s="152">
        <v>1</v>
      </c>
      <c r="L11" s="152">
        <v>1</v>
      </c>
      <c r="M11" s="152">
        <v>6</v>
      </c>
      <c r="N11" s="152">
        <v>99.06103515625</v>
      </c>
      <c r="O11" s="152"/>
      <c r="P11" s="152"/>
      <c r="Q11" s="152">
        <v>0.46948355436325073</v>
      </c>
      <c r="R11" s="152">
        <v>0.46948355436325073</v>
      </c>
      <c r="S11" s="152">
        <v>48</v>
      </c>
      <c r="T11" s="152">
        <v>60</v>
      </c>
      <c r="U11" s="152">
        <v>48</v>
      </c>
      <c r="V11" s="152">
        <v>44</v>
      </c>
      <c r="W11" s="152">
        <v>19</v>
      </c>
      <c r="X11" s="152">
        <v>21.917808532714844</v>
      </c>
      <c r="Y11" s="152">
        <v>27.397260665893555</v>
      </c>
      <c r="Z11" s="152">
        <v>21.917808532714844</v>
      </c>
      <c r="AA11" s="152">
        <v>20.091323852539063</v>
      </c>
      <c r="AB11" s="152">
        <v>8.6757993698120117</v>
      </c>
      <c r="AC11" s="152">
        <v>12</v>
      </c>
      <c r="AD11" s="152">
        <v>3</v>
      </c>
      <c r="AE11" s="152">
        <v>167</v>
      </c>
      <c r="AF11" s="152">
        <v>37</v>
      </c>
      <c r="AG11" s="152">
        <v>5.4794521331787109</v>
      </c>
      <c r="AH11" s="152">
        <v>1.3698630332946777</v>
      </c>
      <c r="AI11" s="152">
        <v>76.255706787109375</v>
      </c>
      <c r="AJ11" s="152">
        <v>16.894977569580078</v>
      </c>
      <c r="AK11" s="152">
        <v>47</v>
      </c>
      <c r="AL11" s="152">
        <v>20</v>
      </c>
      <c r="AM11" s="152">
        <v>26</v>
      </c>
      <c r="AN11" s="152">
        <v>12</v>
      </c>
      <c r="AO11" s="152">
        <v>86</v>
      </c>
      <c r="AP11" s="152">
        <v>28</v>
      </c>
      <c r="AQ11" s="152">
        <v>24.607330322265625</v>
      </c>
      <c r="AR11" s="152">
        <v>10.471203804016113</v>
      </c>
      <c r="AS11" s="152">
        <v>13.612565040588379</v>
      </c>
      <c r="AT11" s="152">
        <v>6.2827224731445313</v>
      </c>
      <c r="AU11" s="152">
        <v>45.026176452636719</v>
      </c>
      <c r="AV11" s="152">
        <v>29</v>
      </c>
      <c r="AW11" s="152">
        <v>53</v>
      </c>
      <c r="AX11" s="152">
        <v>39</v>
      </c>
      <c r="AY11" s="152">
        <v>41</v>
      </c>
      <c r="AZ11" s="152">
        <v>3</v>
      </c>
      <c r="BA11" s="152">
        <v>54</v>
      </c>
      <c r="BB11" s="152">
        <v>17.57575798034668</v>
      </c>
      <c r="BC11" s="152">
        <v>32.121212005615234</v>
      </c>
      <c r="BD11" s="152">
        <v>23.636363983154297</v>
      </c>
      <c r="BE11" s="152">
        <v>24.848484039306641</v>
      </c>
      <c r="BF11" s="152">
        <v>1.8181818723678589</v>
      </c>
    </row>
    <row r="12" spans="1:58" x14ac:dyDescent="0.3">
      <c r="A12" s="153" t="s">
        <v>296</v>
      </c>
      <c r="B12" s="153" t="s">
        <v>295</v>
      </c>
      <c r="C12" s="154">
        <v>123</v>
      </c>
      <c r="D12" s="154">
        <v>7</v>
      </c>
      <c r="E12" s="154">
        <v>115</v>
      </c>
      <c r="F12" s="154">
        <v>94.615386962890625</v>
      </c>
      <c r="G12" s="154">
        <v>5.384615421295166</v>
      </c>
      <c r="H12" s="154">
        <v>223</v>
      </c>
      <c r="I12" s="154">
        <v>2</v>
      </c>
      <c r="J12" s="154">
        <v>14</v>
      </c>
      <c r="K12" s="154"/>
      <c r="L12" s="154">
        <v>4</v>
      </c>
      <c r="M12" s="154">
        <v>2</v>
      </c>
      <c r="N12" s="154">
        <v>91.769546508789063</v>
      </c>
      <c r="O12" s="154">
        <v>0.82304525375366211</v>
      </c>
      <c r="P12" s="154">
        <v>5.7613167762756348</v>
      </c>
      <c r="Q12" s="154"/>
      <c r="R12" s="154">
        <v>1.6460905075073242</v>
      </c>
      <c r="S12" s="154">
        <v>127</v>
      </c>
      <c r="T12" s="154">
        <v>57</v>
      </c>
      <c r="U12" s="154">
        <v>34</v>
      </c>
      <c r="V12" s="154">
        <v>18</v>
      </c>
      <c r="W12" s="154">
        <v>9</v>
      </c>
      <c r="X12" s="154">
        <v>51.836734771728516</v>
      </c>
      <c r="Y12" s="154">
        <v>23.26530647277832</v>
      </c>
      <c r="Z12" s="154">
        <v>13.877551078796387</v>
      </c>
      <c r="AA12" s="154">
        <v>7.3469386100769043</v>
      </c>
      <c r="AB12" s="154">
        <v>3.6734693050384521</v>
      </c>
      <c r="AC12" s="154">
        <v>26</v>
      </c>
      <c r="AD12" s="154">
        <v>1</v>
      </c>
      <c r="AE12" s="154">
        <v>214</v>
      </c>
      <c r="AF12" s="154">
        <v>4</v>
      </c>
      <c r="AG12" s="154">
        <v>10.612244606018066</v>
      </c>
      <c r="AH12" s="154">
        <v>0.40816327929496765</v>
      </c>
      <c r="AI12" s="154">
        <v>87.346939086914063</v>
      </c>
      <c r="AJ12" s="154">
        <v>1.6326531171798706</v>
      </c>
      <c r="AK12" s="154">
        <v>49</v>
      </c>
      <c r="AL12" s="154">
        <v>14</v>
      </c>
      <c r="AM12" s="154">
        <v>23</v>
      </c>
      <c r="AN12" s="154">
        <v>29</v>
      </c>
      <c r="AO12" s="154">
        <v>118</v>
      </c>
      <c r="AP12" s="154">
        <v>12</v>
      </c>
      <c r="AQ12" s="154">
        <v>21.03004264831543</v>
      </c>
      <c r="AR12" s="154">
        <v>6.0085835456848145</v>
      </c>
      <c r="AS12" s="154">
        <v>9.8712444305419922</v>
      </c>
      <c r="AT12" s="154">
        <v>12.446352005004883</v>
      </c>
      <c r="AU12" s="154">
        <v>50.643775939941406</v>
      </c>
      <c r="AV12" s="154">
        <v>38</v>
      </c>
      <c r="AW12" s="154">
        <v>61</v>
      </c>
      <c r="AX12" s="154">
        <v>48</v>
      </c>
      <c r="AY12" s="154">
        <v>56</v>
      </c>
      <c r="AZ12" s="154">
        <v>11</v>
      </c>
      <c r="BA12" s="154">
        <v>31</v>
      </c>
      <c r="BB12" s="154">
        <v>17.757009506225586</v>
      </c>
      <c r="BC12" s="154">
        <v>28.504673004150391</v>
      </c>
      <c r="BD12" s="154">
        <v>22.429906845092773</v>
      </c>
      <c r="BE12" s="154">
        <v>26.168224334716797</v>
      </c>
      <c r="BF12" s="154">
        <v>5.1401867866516113</v>
      </c>
    </row>
    <row r="13" spans="1:58" x14ac:dyDescent="0.3">
      <c r="A13" s="151" t="s">
        <v>406</v>
      </c>
      <c r="B13" s="151" t="s">
        <v>405</v>
      </c>
      <c r="C13" s="152">
        <v>225</v>
      </c>
      <c r="D13" s="152">
        <v>11</v>
      </c>
      <c r="E13" s="152">
        <v>389</v>
      </c>
      <c r="F13" s="152">
        <v>95.338981628417969</v>
      </c>
      <c r="G13" s="152">
        <v>4.6610169410705566</v>
      </c>
      <c r="H13" s="152">
        <v>566</v>
      </c>
      <c r="I13" s="152">
        <v>11</v>
      </c>
      <c r="J13" s="152">
        <v>6</v>
      </c>
      <c r="K13" s="152">
        <v>8</v>
      </c>
      <c r="L13" s="152">
        <v>18</v>
      </c>
      <c r="M13" s="152">
        <v>16</v>
      </c>
      <c r="N13" s="152">
        <v>92.939247131347656</v>
      </c>
      <c r="O13" s="152">
        <v>1.8062397241592407</v>
      </c>
      <c r="P13" s="152">
        <v>0.98522168397903442</v>
      </c>
      <c r="Q13" s="152">
        <v>1.3136289119720459</v>
      </c>
      <c r="R13" s="152">
        <v>2.955665111541748</v>
      </c>
      <c r="S13" s="152">
        <v>90</v>
      </c>
      <c r="T13" s="152">
        <v>140</v>
      </c>
      <c r="U13" s="152">
        <v>135</v>
      </c>
      <c r="V13" s="152">
        <v>145</v>
      </c>
      <c r="W13" s="152">
        <v>115</v>
      </c>
      <c r="X13" s="152">
        <v>14.399999618530273</v>
      </c>
      <c r="Y13" s="152">
        <v>22.399999618530273</v>
      </c>
      <c r="Z13" s="152">
        <v>21.600000381469727</v>
      </c>
      <c r="AA13" s="152">
        <v>23.200000762939453</v>
      </c>
      <c r="AB13" s="152">
        <v>18.399999618530273</v>
      </c>
      <c r="AC13" s="152">
        <v>41</v>
      </c>
      <c r="AD13" s="152">
        <v>14</v>
      </c>
      <c r="AE13" s="152">
        <v>348</v>
      </c>
      <c r="AF13" s="152">
        <v>222</v>
      </c>
      <c r="AG13" s="152">
        <v>6.559999942779541</v>
      </c>
      <c r="AH13" s="152">
        <v>2.2400000095367432</v>
      </c>
      <c r="AI13" s="152">
        <v>55.680000305175781</v>
      </c>
      <c r="AJ13" s="152">
        <v>35.520000457763672</v>
      </c>
      <c r="AK13" s="152">
        <v>105</v>
      </c>
      <c r="AL13" s="152">
        <v>39</v>
      </c>
      <c r="AM13" s="152">
        <v>48</v>
      </c>
      <c r="AN13" s="152">
        <v>71</v>
      </c>
      <c r="AO13" s="152">
        <v>311</v>
      </c>
      <c r="AP13" s="152">
        <v>51</v>
      </c>
      <c r="AQ13" s="152">
        <v>18.292682647705078</v>
      </c>
      <c r="AR13" s="152">
        <v>6.7944250106811523</v>
      </c>
      <c r="AS13" s="152">
        <v>8.3623695373535156</v>
      </c>
      <c r="AT13" s="152">
        <v>12.369338035583496</v>
      </c>
      <c r="AU13" s="152">
        <v>54.181182861328125</v>
      </c>
      <c r="AV13" s="152">
        <v>37</v>
      </c>
      <c r="AW13" s="152">
        <v>190</v>
      </c>
      <c r="AX13" s="152">
        <v>64</v>
      </c>
      <c r="AY13" s="152">
        <v>101</v>
      </c>
      <c r="AZ13" s="152">
        <v>43</v>
      </c>
      <c r="BA13" s="152">
        <v>190</v>
      </c>
      <c r="BB13" s="152">
        <v>8.5057468414306641</v>
      </c>
      <c r="BC13" s="152">
        <v>43.67816162109375</v>
      </c>
      <c r="BD13" s="152">
        <v>14.712643623352051</v>
      </c>
      <c r="BE13" s="152">
        <v>23.218391418457031</v>
      </c>
      <c r="BF13" s="152">
        <v>9.8850574493408203</v>
      </c>
    </row>
    <row r="14" spans="1:58" x14ac:dyDescent="0.3">
      <c r="A14" s="153" t="s">
        <v>450</v>
      </c>
      <c r="B14" s="153" t="s">
        <v>449</v>
      </c>
      <c r="C14" s="154">
        <v>177</v>
      </c>
      <c r="D14" s="154">
        <v>29</v>
      </c>
      <c r="E14" s="154">
        <v>56</v>
      </c>
      <c r="F14" s="154">
        <v>85.922332763671875</v>
      </c>
      <c r="G14" s="154">
        <v>14.077670097351074</v>
      </c>
      <c r="H14" s="154">
        <v>193</v>
      </c>
      <c r="I14" s="154">
        <v>2</v>
      </c>
      <c r="J14" s="154">
        <v>21</v>
      </c>
      <c r="K14" s="154">
        <v>10</v>
      </c>
      <c r="L14" s="154">
        <v>28</v>
      </c>
      <c r="M14" s="154">
        <v>8</v>
      </c>
      <c r="N14" s="154">
        <v>75.9842529296875</v>
      </c>
      <c r="O14" s="154">
        <v>0.78740155696868896</v>
      </c>
      <c r="P14" s="154">
        <v>8.2677164077758789</v>
      </c>
      <c r="Q14" s="154">
        <v>3.9370079040527344</v>
      </c>
      <c r="R14" s="154">
        <v>11.023622512817383</v>
      </c>
      <c r="S14" s="154">
        <v>24</v>
      </c>
      <c r="T14" s="154">
        <v>55</v>
      </c>
      <c r="U14" s="154">
        <v>78</v>
      </c>
      <c r="V14" s="154">
        <v>64</v>
      </c>
      <c r="W14" s="154">
        <v>41</v>
      </c>
      <c r="X14" s="154">
        <v>9.1603050231933594</v>
      </c>
      <c r="Y14" s="154">
        <v>20.992366790771484</v>
      </c>
      <c r="Z14" s="154">
        <v>29.770992279052734</v>
      </c>
      <c r="AA14" s="154">
        <v>24.427480697631836</v>
      </c>
      <c r="AB14" s="154">
        <v>15.648855209350586</v>
      </c>
      <c r="AC14" s="154">
        <v>19</v>
      </c>
      <c r="AD14" s="154">
        <v>2</v>
      </c>
      <c r="AE14" s="154">
        <v>187</v>
      </c>
      <c r="AF14" s="154">
        <v>54</v>
      </c>
      <c r="AG14" s="154">
        <v>7.2519083023071289</v>
      </c>
      <c r="AH14" s="154">
        <v>0.76335877180099487</v>
      </c>
      <c r="AI14" s="154">
        <v>71.374046325683594</v>
      </c>
      <c r="AJ14" s="154">
        <v>20.610687255859375</v>
      </c>
      <c r="AK14" s="154">
        <v>57</v>
      </c>
      <c r="AL14" s="154">
        <v>20</v>
      </c>
      <c r="AM14" s="154">
        <v>26</v>
      </c>
      <c r="AN14" s="154">
        <v>26</v>
      </c>
      <c r="AO14" s="154">
        <v>116</v>
      </c>
      <c r="AP14" s="154">
        <v>17</v>
      </c>
      <c r="AQ14" s="154">
        <v>23.26530647277832</v>
      </c>
      <c r="AR14" s="154">
        <v>8.1632652282714844</v>
      </c>
      <c r="AS14" s="154">
        <v>10.612244606018066</v>
      </c>
      <c r="AT14" s="154">
        <v>10.612244606018066</v>
      </c>
      <c r="AU14" s="154">
        <v>47.346939086914063</v>
      </c>
      <c r="AV14" s="154">
        <v>74</v>
      </c>
      <c r="AW14" s="154">
        <v>77</v>
      </c>
      <c r="AX14" s="154">
        <v>35</v>
      </c>
      <c r="AY14" s="154">
        <v>38</v>
      </c>
      <c r="AZ14" s="154">
        <v>21</v>
      </c>
      <c r="BA14" s="154">
        <v>17</v>
      </c>
      <c r="BB14" s="154">
        <v>30.204082489013672</v>
      </c>
      <c r="BC14" s="154">
        <v>31.428571701049805</v>
      </c>
      <c r="BD14" s="154">
        <v>14.285714149475098</v>
      </c>
      <c r="BE14" s="154">
        <v>15.510204315185547</v>
      </c>
      <c r="BF14" s="154">
        <v>8.5714282989501953</v>
      </c>
    </row>
    <row r="15" spans="1:58" x14ac:dyDescent="0.3">
      <c r="A15" s="151" t="s">
        <v>420</v>
      </c>
      <c r="B15" s="151" t="s">
        <v>419</v>
      </c>
      <c r="C15" s="152">
        <v>9</v>
      </c>
      <c r="D15" s="152"/>
      <c r="E15" s="152">
        <v>117</v>
      </c>
      <c r="F15" s="152"/>
      <c r="G15" s="152"/>
      <c r="H15" s="152">
        <v>95</v>
      </c>
      <c r="I15" s="152">
        <v>1</v>
      </c>
      <c r="J15" s="152">
        <v>8</v>
      </c>
      <c r="K15" s="152">
        <v>9</v>
      </c>
      <c r="L15" s="152">
        <v>11</v>
      </c>
      <c r="M15" s="152">
        <v>2</v>
      </c>
      <c r="N15" s="152">
        <v>76.612899780273438</v>
      </c>
      <c r="O15" s="152">
        <v>0.80645161867141724</v>
      </c>
      <c r="P15" s="152">
        <v>6.4516129493713379</v>
      </c>
      <c r="Q15" s="152">
        <v>7.2580647468566895</v>
      </c>
      <c r="R15" s="152">
        <v>8.8709678649902344</v>
      </c>
      <c r="S15" s="152">
        <v>43</v>
      </c>
      <c r="T15" s="152">
        <v>45</v>
      </c>
      <c r="U15" s="152">
        <v>22</v>
      </c>
      <c r="V15" s="152">
        <v>12</v>
      </c>
      <c r="W15" s="152">
        <v>4</v>
      </c>
      <c r="X15" s="152">
        <v>34.126983642578125</v>
      </c>
      <c r="Y15" s="152">
        <v>35.714286804199219</v>
      </c>
      <c r="Z15" s="152">
        <v>17.460317611694336</v>
      </c>
      <c r="AA15" s="152">
        <v>9.5238094329833984</v>
      </c>
      <c r="AB15" s="152">
        <v>3.1746032238006592</v>
      </c>
      <c r="AC15" s="152">
        <v>11</v>
      </c>
      <c r="AD15" s="152">
        <v>2</v>
      </c>
      <c r="AE15" s="152">
        <v>93</v>
      </c>
      <c r="AF15" s="152">
        <v>20</v>
      </c>
      <c r="AG15" s="152">
        <v>8.730158805847168</v>
      </c>
      <c r="AH15" s="152">
        <v>1.5873016119003296</v>
      </c>
      <c r="AI15" s="152">
        <v>73.809524536132813</v>
      </c>
      <c r="AJ15" s="152">
        <v>15.873015403747559</v>
      </c>
      <c r="AK15" s="152">
        <v>15</v>
      </c>
      <c r="AL15" s="152">
        <v>8</v>
      </c>
      <c r="AM15" s="152">
        <v>18</v>
      </c>
      <c r="AN15" s="152">
        <v>15</v>
      </c>
      <c r="AO15" s="152">
        <v>52</v>
      </c>
      <c r="AP15" s="152">
        <v>18</v>
      </c>
      <c r="AQ15" s="152">
        <v>13.888889312744141</v>
      </c>
      <c r="AR15" s="152">
        <v>7.407407283782959</v>
      </c>
      <c r="AS15" s="152">
        <v>16.666666030883789</v>
      </c>
      <c r="AT15" s="152">
        <v>13.888889312744141</v>
      </c>
      <c r="AU15" s="152">
        <v>48.148147583007813</v>
      </c>
      <c r="AV15" s="152">
        <v>9</v>
      </c>
      <c r="AW15" s="152">
        <v>19</v>
      </c>
      <c r="AX15" s="152">
        <v>14</v>
      </c>
      <c r="AY15" s="152">
        <v>10</v>
      </c>
      <c r="AZ15" s="152">
        <v>4</v>
      </c>
      <c r="BA15" s="152">
        <v>70</v>
      </c>
      <c r="BB15" s="152">
        <v>16.071428298950195</v>
      </c>
      <c r="BC15" s="152">
        <v>33.928569793701172</v>
      </c>
      <c r="BD15" s="152">
        <v>25</v>
      </c>
      <c r="BE15" s="152">
        <v>17.857143402099609</v>
      </c>
      <c r="BF15" s="152">
        <v>7.1428570747375488</v>
      </c>
    </row>
    <row r="16" spans="1:58" x14ac:dyDescent="0.3">
      <c r="A16" s="153" t="s">
        <v>494</v>
      </c>
      <c r="B16" s="153" t="s">
        <v>493</v>
      </c>
      <c r="C16" s="154">
        <v>10</v>
      </c>
      <c r="D16" s="154">
        <v>1</v>
      </c>
      <c r="E16" s="154">
        <v>96</v>
      </c>
      <c r="F16" s="154">
        <v>90.909088134765625</v>
      </c>
      <c r="G16" s="154">
        <v>9.0909090042114258</v>
      </c>
      <c r="H16" s="154">
        <v>86</v>
      </c>
      <c r="I16" s="154"/>
      <c r="J16" s="154">
        <v>8</v>
      </c>
      <c r="K16" s="154">
        <v>4</v>
      </c>
      <c r="L16" s="154">
        <v>9</v>
      </c>
      <c r="M16" s="154"/>
      <c r="N16" s="154">
        <v>80.373832702636719</v>
      </c>
      <c r="O16" s="154"/>
      <c r="P16" s="154">
        <v>7.4766354560852051</v>
      </c>
      <c r="Q16" s="154">
        <v>3.7383177280426025</v>
      </c>
      <c r="R16" s="154">
        <v>8.4112148284912109</v>
      </c>
      <c r="S16" s="154">
        <v>7</v>
      </c>
      <c r="T16" s="154">
        <v>45</v>
      </c>
      <c r="U16" s="154">
        <v>21</v>
      </c>
      <c r="V16" s="154">
        <v>14</v>
      </c>
      <c r="W16" s="154">
        <v>20</v>
      </c>
      <c r="X16" s="154">
        <v>6.5420560836791992</v>
      </c>
      <c r="Y16" s="154">
        <v>42.056076049804688</v>
      </c>
      <c r="Z16" s="154">
        <v>19.626167297363281</v>
      </c>
      <c r="AA16" s="154">
        <v>13.084112167358398</v>
      </c>
      <c r="AB16" s="154">
        <v>18.69158935546875</v>
      </c>
      <c r="AC16" s="154">
        <v>6</v>
      </c>
      <c r="AD16" s="154">
        <v>2</v>
      </c>
      <c r="AE16" s="154">
        <v>36</v>
      </c>
      <c r="AF16" s="154">
        <v>63</v>
      </c>
      <c r="AG16" s="154">
        <v>5.6074767112731934</v>
      </c>
      <c r="AH16" s="154">
        <v>1.8691588640213013</v>
      </c>
      <c r="AI16" s="154">
        <v>33.644859313964844</v>
      </c>
      <c r="AJ16" s="154">
        <v>58.878505706787109</v>
      </c>
      <c r="AK16" s="154">
        <v>13</v>
      </c>
      <c r="AL16" s="154">
        <v>7</v>
      </c>
      <c r="AM16" s="154">
        <v>11</v>
      </c>
      <c r="AN16" s="154">
        <v>6</v>
      </c>
      <c r="AO16" s="154">
        <v>61</v>
      </c>
      <c r="AP16" s="154">
        <v>9</v>
      </c>
      <c r="AQ16" s="154">
        <v>13.26530647277832</v>
      </c>
      <c r="AR16" s="154">
        <v>7.1428570747375488</v>
      </c>
      <c r="AS16" s="154">
        <v>11.224490165710449</v>
      </c>
      <c r="AT16" s="154">
        <v>6.1224489212036133</v>
      </c>
      <c r="AU16" s="154">
        <v>62.244899749755859</v>
      </c>
      <c r="AV16" s="154">
        <v>15</v>
      </c>
      <c r="AW16" s="154">
        <v>32</v>
      </c>
      <c r="AX16" s="154">
        <v>20</v>
      </c>
      <c r="AY16" s="154">
        <v>22</v>
      </c>
      <c r="AZ16" s="154">
        <v>6</v>
      </c>
      <c r="BA16" s="154">
        <v>12</v>
      </c>
      <c r="BB16" s="154">
        <v>15.789473533630371</v>
      </c>
      <c r="BC16" s="154">
        <v>33.684211730957031</v>
      </c>
      <c r="BD16" s="154">
        <v>21.052631378173828</v>
      </c>
      <c r="BE16" s="154">
        <v>23.157894134521484</v>
      </c>
      <c r="BF16" s="154">
        <v>6.3157896995544434</v>
      </c>
    </row>
    <row r="17" spans="1:58" x14ac:dyDescent="0.3">
      <c r="A17" s="151" t="s">
        <v>386</v>
      </c>
      <c r="B17" s="151" t="s">
        <v>385</v>
      </c>
      <c r="C17" s="152">
        <v>1</v>
      </c>
      <c r="D17" s="152"/>
      <c r="E17" s="152">
        <v>116</v>
      </c>
      <c r="F17" s="152"/>
      <c r="G17" s="152"/>
      <c r="H17" s="152">
        <v>93</v>
      </c>
      <c r="I17" s="152">
        <v>2</v>
      </c>
      <c r="J17" s="152">
        <v>8</v>
      </c>
      <c r="K17" s="152">
        <v>4</v>
      </c>
      <c r="L17" s="152">
        <v>5</v>
      </c>
      <c r="M17" s="152">
        <v>5</v>
      </c>
      <c r="N17" s="152">
        <v>83.035713195800781</v>
      </c>
      <c r="O17" s="152">
        <v>1.7857142686843872</v>
      </c>
      <c r="P17" s="152">
        <v>7.1428570747375488</v>
      </c>
      <c r="Q17" s="152">
        <v>3.5714285373687744</v>
      </c>
      <c r="R17" s="152">
        <v>4.4642858505249023</v>
      </c>
      <c r="S17" s="152"/>
      <c r="T17" s="152">
        <v>10</v>
      </c>
      <c r="U17" s="152">
        <v>19</v>
      </c>
      <c r="V17" s="152">
        <v>33</v>
      </c>
      <c r="W17" s="152">
        <v>55</v>
      </c>
      <c r="X17" s="152"/>
      <c r="Y17" s="152">
        <v>8.5470085144042969</v>
      </c>
      <c r="Z17" s="152">
        <v>16.239316940307617</v>
      </c>
      <c r="AA17" s="152">
        <v>28.205127716064453</v>
      </c>
      <c r="AB17" s="152">
        <v>47.008548736572266</v>
      </c>
      <c r="AC17" s="152">
        <v>7</v>
      </c>
      <c r="AD17" s="152">
        <v>1</v>
      </c>
      <c r="AE17" s="152">
        <v>89</v>
      </c>
      <c r="AF17" s="152">
        <v>20</v>
      </c>
      <c r="AG17" s="152">
        <v>5.9829058647155762</v>
      </c>
      <c r="AH17" s="152">
        <v>0.85470086336135864</v>
      </c>
      <c r="AI17" s="152">
        <v>76.068374633789063</v>
      </c>
      <c r="AJ17" s="152">
        <v>17.094017028808594</v>
      </c>
      <c r="AK17" s="152">
        <v>22</v>
      </c>
      <c r="AL17" s="152">
        <v>12</v>
      </c>
      <c r="AM17" s="152">
        <v>10</v>
      </c>
      <c r="AN17" s="152">
        <v>8</v>
      </c>
      <c r="AO17" s="152">
        <v>57</v>
      </c>
      <c r="AP17" s="152">
        <v>8</v>
      </c>
      <c r="AQ17" s="152">
        <v>20.183486938476563</v>
      </c>
      <c r="AR17" s="152">
        <v>11.009174346923828</v>
      </c>
      <c r="AS17" s="152">
        <v>9.174311637878418</v>
      </c>
      <c r="AT17" s="152">
        <v>7.339449405670166</v>
      </c>
      <c r="AU17" s="152">
        <v>52.2935791015625</v>
      </c>
      <c r="AV17" s="152">
        <v>29</v>
      </c>
      <c r="AW17" s="152">
        <v>40</v>
      </c>
      <c r="AX17" s="152">
        <v>19</v>
      </c>
      <c r="AY17" s="152">
        <v>17</v>
      </c>
      <c r="AZ17" s="152">
        <v>3</v>
      </c>
      <c r="BA17" s="152">
        <v>9</v>
      </c>
      <c r="BB17" s="152">
        <v>26.851852416992188</v>
      </c>
      <c r="BC17" s="152">
        <v>37.037036895751953</v>
      </c>
      <c r="BD17" s="152">
        <v>17.592592239379883</v>
      </c>
      <c r="BE17" s="152">
        <v>15.740740776062012</v>
      </c>
      <c r="BF17" s="152">
        <v>2.7777776718139648</v>
      </c>
    </row>
    <row r="18" spans="1:58" x14ac:dyDescent="0.3">
      <c r="A18" s="153" t="s">
        <v>333</v>
      </c>
      <c r="B18" s="153" t="s">
        <v>332</v>
      </c>
      <c r="C18" s="154">
        <v>133</v>
      </c>
      <c r="D18" s="154">
        <v>14</v>
      </c>
      <c r="E18" s="154">
        <v>9</v>
      </c>
      <c r="F18" s="154">
        <v>90.476188659667969</v>
      </c>
      <c r="G18" s="154">
        <v>9.5238094329833984</v>
      </c>
      <c r="H18" s="154">
        <v>137</v>
      </c>
      <c r="I18" s="154">
        <v>2</v>
      </c>
      <c r="J18" s="154">
        <v>6</v>
      </c>
      <c r="K18" s="154"/>
      <c r="L18" s="154">
        <v>5</v>
      </c>
      <c r="M18" s="154">
        <v>6</v>
      </c>
      <c r="N18" s="154">
        <v>91.333335876464844</v>
      </c>
      <c r="O18" s="154">
        <v>1.3333333730697632</v>
      </c>
      <c r="P18" s="154">
        <v>4</v>
      </c>
      <c r="Q18" s="154"/>
      <c r="R18" s="154">
        <v>3.3333332538604736</v>
      </c>
      <c r="S18" s="154">
        <v>32</v>
      </c>
      <c r="T18" s="154">
        <v>23</v>
      </c>
      <c r="U18" s="154">
        <v>51</v>
      </c>
      <c r="V18" s="154">
        <v>44</v>
      </c>
      <c r="W18" s="154">
        <v>6</v>
      </c>
      <c r="X18" s="154">
        <v>20.512821197509766</v>
      </c>
      <c r="Y18" s="154">
        <v>14.743589401245117</v>
      </c>
      <c r="Z18" s="154">
        <v>32.692306518554688</v>
      </c>
      <c r="AA18" s="154">
        <v>28.205127716064453</v>
      </c>
      <c r="AB18" s="154">
        <v>3.846153736114502</v>
      </c>
      <c r="AC18" s="154">
        <v>7</v>
      </c>
      <c r="AD18" s="154"/>
      <c r="AE18" s="154">
        <v>96</v>
      </c>
      <c r="AF18" s="154">
        <v>53</v>
      </c>
      <c r="AG18" s="154">
        <v>4.4871792793273926</v>
      </c>
      <c r="AH18" s="154"/>
      <c r="AI18" s="154">
        <v>61.538459777832031</v>
      </c>
      <c r="AJ18" s="154">
        <v>33.974357604980469</v>
      </c>
      <c r="AK18" s="154">
        <v>30</v>
      </c>
      <c r="AL18" s="154">
        <v>18</v>
      </c>
      <c r="AM18" s="154">
        <v>15</v>
      </c>
      <c r="AN18" s="154">
        <v>13</v>
      </c>
      <c r="AO18" s="154">
        <v>73</v>
      </c>
      <c r="AP18" s="154">
        <v>7</v>
      </c>
      <c r="AQ18" s="154">
        <v>20.134227752685547</v>
      </c>
      <c r="AR18" s="154">
        <v>12.080536842346191</v>
      </c>
      <c r="AS18" s="154">
        <v>10.067113876342773</v>
      </c>
      <c r="AT18" s="154">
        <v>8.7248325347900391</v>
      </c>
      <c r="AU18" s="154">
        <v>48.993289947509766</v>
      </c>
      <c r="AV18" s="154">
        <v>24</v>
      </c>
      <c r="AW18" s="154">
        <v>64</v>
      </c>
      <c r="AX18" s="154">
        <v>29</v>
      </c>
      <c r="AY18" s="154">
        <v>23</v>
      </c>
      <c r="AZ18" s="154">
        <v>12</v>
      </c>
      <c r="BA18" s="154">
        <v>4</v>
      </c>
      <c r="BB18" s="154">
        <v>15.789473533630371</v>
      </c>
      <c r="BC18" s="154">
        <v>42.105262756347656</v>
      </c>
      <c r="BD18" s="154">
        <v>19.078947067260742</v>
      </c>
      <c r="BE18" s="154">
        <v>15.131579399108887</v>
      </c>
      <c r="BF18" s="154">
        <v>7.8947367668151855</v>
      </c>
    </row>
    <row r="19" spans="1:58" x14ac:dyDescent="0.3">
      <c r="A19" s="151" t="s">
        <v>536</v>
      </c>
      <c r="B19" s="151" t="s">
        <v>535</v>
      </c>
      <c r="C19" s="152">
        <v>66</v>
      </c>
      <c r="D19" s="152">
        <v>11</v>
      </c>
      <c r="E19" s="152">
        <v>63</v>
      </c>
      <c r="F19" s="152">
        <v>85.714286804199219</v>
      </c>
      <c r="G19" s="152">
        <v>14.285714149475098</v>
      </c>
      <c r="H19" s="152">
        <v>124</v>
      </c>
      <c r="I19" s="152">
        <v>3</v>
      </c>
      <c r="J19" s="152">
        <v>5</v>
      </c>
      <c r="K19" s="152">
        <v>4</v>
      </c>
      <c r="L19" s="152">
        <v>2</v>
      </c>
      <c r="M19" s="152">
        <v>2</v>
      </c>
      <c r="N19" s="152">
        <v>89.855072021484375</v>
      </c>
      <c r="O19" s="152">
        <v>2.1739130020141602</v>
      </c>
      <c r="P19" s="152">
        <v>3.6231884956359863</v>
      </c>
      <c r="Q19" s="152">
        <v>2.8985507488250732</v>
      </c>
      <c r="R19" s="152">
        <v>1.4492753744125366</v>
      </c>
      <c r="S19" s="152">
        <v>80</v>
      </c>
      <c r="T19" s="152">
        <v>20</v>
      </c>
      <c r="U19" s="152">
        <v>19</v>
      </c>
      <c r="V19" s="152">
        <v>9</v>
      </c>
      <c r="W19" s="152">
        <v>12</v>
      </c>
      <c r="X19" s="152">
        <v>57.142856597900391</v>
      </c>
      <c r="Y19" s="152">
        <v>14.285714149475098</v>
      </c>
      <c r="Z19" s="152">
        <v>13.571428298950195</v>
      </c>
      <c r="AA19" s="152">
        <v>6.4285712242126465</v>
      </c>
      <c r="AB19" s="152">
        <v>8.5714282989501953</v>
      </c>
      <c r="AC19" s="152">
        <v>11</v>
      </c>
      <c r="AD19" s="152">
        <v>2</v>
      </c>
      <c r="AE19" s="152">
        <v>59</v>
      </c>
      <c r="AF19" s="152">
        <v>68</v>
      </c>
      <c r="AG19" s="152">
        <v>7.8571429252624512</v>
      </c>
      <c r="AH19" s="152">
        <v>1.4285714626312256</v>
      </c>
      <c r="AI19" s="152">
        <v>42.142856597900391</v>
      </c>
      <c r="AJ19" s="152">
        <v>48.571430206298828</v>
      </c>
      <c r="AK19" s="152">
        <v>16</v>
      </c>
      <c r="AL19" s="152">
        <v>3</v>
      </c>
      <c r="AM19" s="152">
        <v>19</v>
      </c>
      <c r="AN19" s="152">
        <v>14</v>
      </c>
      <c r="AO19" s="152">
        <v>73</v>
      </c>
      <c r="AP19" s="152">
        <v>15</v>
      </c>
      <c r="AQ19" s="152">
        <v>12.800000190734863</v>
      </c>
      <c r="AR19" s="152">
        <v>2.4000000953674316</v>
      </c>
      <c r="AS19" s="152">
        <v>15.199999809265137</v>
      </c>
      <c r="AT19" s="152">
        <v>11.199999809265137</v>
      </c>
      <c r="AU19" s="152">
        <v>58.400001525878906</v>
      </c>
      <c r="AV19" s="152">
        <v>25</v>
      </c>
      <c r="AW19" s="152">
        <v>30</v>
      </c>
      <c r="AX19" s="152">
        <v>23</v>
      </c>
      <c r="AY19" s="152">
        <v>28</v>
      </c>
      <c r="AZ19" s="152">
        <v>4</v>
      </c>
      <c r="BA19" s="152">
        <v>30</v>
      </c>
      <c r="BB19" s="152">
        <v>22.727272033691406</v>
      </c>
      <c r="BC19" s="152">
        <v>27.272727966308594</v>
      </c>
      <c r="BD19" s="152">
        <v>20.909090042114258</v>
      </c>
      <c r="BE19" s="152">
        <v>25.454545974731445</v>
      </c>
      <c r="BF19" s="152">
        <v>3.6363637447357178</v>
      </c>
    </row>
    <row r="20" spans="1:58" x14ac:dyDescent="0.3">
      <c r="A20" s="153" t="s">
        <v>544</v>
      </c>
      <c r="B20" s="153" t="s">
        <v>543</v>
      </c>
      <c r="C20" s="154">
        <v>240</v>
      </c>
      <c r="D20" s="154">
        <v>18</v>
      </c>
      <c r="E20" s="154">
        <v>22</v>
      </c>
      <c r="F20" s="154">
        <v>93.02325439453125</v>
      </c>
      <c r="G20" s="154">
        <v>6.9767441749572754</v>
      </c>
      <c r="H20" s="154">
        <v>269</v>
      </c>
      <c r="I20" s="154">
        <v>4</v>
      </c>
      <c r="J20" s="154"/>
      <c r="K20" s="154">
        <v>2</v>
      </c>
      <c r="L20" s="154">
        <v>1</v>
      </c>
      <c r="M20" s="154">
        <v>4</v>
      </c>
      <c r="N20" s="154">
        <v>97.463768005371094</v>
      </c>
      <c r="O20" s="154">
        <v>1.4492753744125366</v>
      </c>
      <c r="P20" s="154"/>
      <c r="Q20" s="154">
        <v>0.72463768720626831</v>
      </c>
      <c r="R20" s="154">
        <v>0.36231884360313416</v>
      </c>
      <c r="S20" s="154">
        <v>121</v>
      </c>
      <c r="T20" s="154">
        <v>52</v>
      </c>
      <c r="U20" s="154">
        <v>29</v>
      </c>
      <c r="V20" s="154">
        <v>43</v>
      </c>
      <c r="W20" s="154">
        <v>35</v>
      </c>
      <c r="X20" s="154">
        <v>43.214286804199219</v>
      </c>
      <c r="Y20" s="154">
        <v>18.571428298950195</v>
      </c>
      <c r="Z20" s="154">
        <v>10.357142448425293</v>
      </c>
      <c r="AA20" s="154">
        <v>15.357142448425293</v>
      </c>
      <c r="AB20" s="154">
        <v>12.5</v>
      </c>
      <c r="AC20" s="154">
        <v>24</v>
      </c>
      <c r="AD20" s="154">
        <v>2</v>
      </c>
      <c r="AE20" s="154">
        <v>149</v>
      </c>
      <c r="AF20" s="154">
        <v>105</v>
      </c>
      <c r="AG20" s="154">
        <v>8.5714282989501953</v>
      </c>
      <c r="AH20" s="154">
        <v>0.71428573131561279</v>
      </c>
      <c r="AI20" s="154">
        <v>53.214286804199219</v>
      </c>
      <c r="AJ20" s="154">
        <v>37.5</v>
      </c>
      <c r="AK20" s="154">
        <v>68</v>
      </c>
      <c r="AL20" s="154">
        <v>31</v>
      </c>
      <c r="AM20" s="154">
        <v>33</v>
      </c>
      <c r="AN20" s="154">
        <v>19</v>
      </c>
      <c r="AO20" s="154">
        <v>123</v>
      </c>
      <c r="AP20" s="154">
        <v>6</v>
      </c>
      <c r="AQ20" s="154">
        <v>24.81751823425293</v>
      </c>
      <c r="AR20" s="154">
        <v>11.313868522644043</v>
      </c>
      <c r="AS20" s="154">
        <v>12.043795585632324</v>
      </c>
      <c r="AT20" s="154">
        <v>6.9343066215515137</v>
      </c>
      <c r="AU20" s="154">
        <v>44.890510559082031</v>
      </c>
      <c r="AV20" s="154">
        <v>35</v>
      </c>
      <c r="AW20" s="154">
        <v>79</v>
      </c>
      <c r="AX20" s="154">
        <v>62</v>
      </c>
      <c r="AY20" s="154">
        <v>68</v>
      </c>
      <c r="AZ20" s="154">
        <v>33</v>
      </c>
      <c r="BA20" s="154">
        <v>3</v>
      </c>
      <c r="BB20" s="154">
        <v>12.635378837585449</v>
      </c>
      <c r="BC20" s="154">
        <v>28.519855499267578</v>
      </c>
      <c r="BD20" s="154">
        <v>22.382671356201172</v>
      </c>
      <c r="BE20" s="154">
        <v>24.548736572265625</v>
      </c>
      <c r="BF20" s="154">
        <v>11.913357734680176</v>
      </c>
    </row>
    <row r="21" spans="1:58" x14ac:dyDescent="0.3">
      <c r="A21" s="151" t="s">
        <v>480</v>
      </c>
      <c r="B21" s="151" t="s">
        <v>479</v>
      </c>
      <c r="C21" s="152">
        <v>189</v>
      </c>
      <c r="D21" s="152">
        <v>13</v>
      </c>
      <c r="E21" s="152">
        <v>96</v>
      </c>
      <c r="F21" s="152">
        <v>93.564353942871094</v>
      </c>
      <c r="G21" s="152">
        <v>6.4356436729431152</v>
      </c>
      <c r="H21" s="152">
        <v>294</v>
      </c>
      <c r="I21" s="152">
        <v>2</v>
      </c>
      <c r="J21" s="152"/>
      <c r="K21" s="152"/>
      <c r="L21" s="152">
        <v>1</v>
      </c>
      <c r="M21" s="152">
        <v>1</v>
      </c>
      <c r="N21" s="152">
        <v>98.989898681640625</v>
      </c>
      <c r="O21" s="152">
        <v>0.67340070009231567</v>
      </c>
      <c r="P21" s="152"/>
      <c r="Q21" s="152"/>
      <c r="R21" s="152">
        <v>0.33670035004615784</v>
      </c>
      <c r="S21" s="152">
        <v>177</v>
      </c>
      <c r="T21" s="152">
        <v>49</v>
      </c>
      <c r="U21" s="152">
        <v>28</v>
      </c>
      <c r="V21" s="152">
        <v>26</v>
      </c>
      <c r="W21" s="152">
        <v>18</v>
      </c>
      <c r="X21" s="152">
        <v>59.395973205566406</v>
      </c>
      <c r="Y21" s="152">
        <v>16.442953109741211</v>
      </c>
      <c r="Z21" s="152">
        <v>9.3959732055664063</v>
      </c>
      <c r="AA21" s="152">
        <v>8.7248325347900391</v>
      </c>
      <c r="AB21" s="152">
        <v>6.0402684211730957</v>
      </c>
      <c r="AC21" s="152">
        <v>32</v>
      </c>
      <c r="AD21" s="152">
        <v>1</v>
      </c>
      <c r="AE21" s="152">
        <v>156</v>
      </c>
      <c r="AF21" s="152">
        <v>109</v>
      </c>
      <c r="AG21" s="152">
        <v>10.738255500793457</v>
      </c>
      <c r="AH21" s="152">
        <v>0.33557048439979553</v>
      </c>
      <c r="AI21" s="152">
        <v>52.348991394042969</v>
      </c>
      <c r="AJ21" s="152">
        <v>36.577182769775391</v>
      </c>
      <c r="AK21" s="152">
        <v>38</v>
      </c>
      <c r="AL21" s="152">
        <v>18</v>
      </c>
      <c r="AM21" s="152">
        <v>37</v>
      </c>
      <c r="AN21" s="152">
        <v>38</v>
      </c>
      <c r="AO21" s="152">
        <v>154</v>
      </c>
      <c r="AP21" s="152">
        <v>13</v>
      </c>
      <c r="AQ21" s="152">
        <v>13.333333015441895</v>
      </c>
      <c r="AR21" s="152">
        <v>6.3157896995544434</v>
      </c>
      <c r="AS21" s="152">
        <v>12.982456207275391</v>
      </c>
      <c r="AT21" s="152">
        <v>13.333333015441895</v>
      </c>
      <c r="AU21" s="152">
        <v>54.035087585449219</v>
      </c>
      <c r="AV21" s="152">
        <v>14</v>
      </c>
      <c r="AW21" s="152">
        <v>80</v>
      </c>
      <c r="AX21" s="152">
        <v>70</v>
      </c>
      <c r="AY21" s="152">
        <v>62</v>
      </c>
      <c r="AZ21" s="152">
        <v>23</v>
      </c>
      <c r="BA21" s="152">
        <v>49</v>
      </c>
      <c r="BB21" s="152">
        <v>5.6224899291992188</v>
      </c>
      <c r="BC21" s="152">
        <v>32.128513336181641</v>
      </c>
      <c r="BD21" s="152">
        <v>28.112449645996094</v>
      </c>
      <c r="BE21" s="152">
        <v>24.899599075317383</v>
      </c>
      <c r="BF21" s="152">
        <v>9.2369480133056641</v>
      </c>
    </row>
    <row r="22" spans="1:58" x14ac:dyDescent="0.3">
      <c r="A22" s="153" t="s">
        <v>394</v>
      </c>
      <c r="B22" s="153" t="s">
        <v>393</v>
      </c>
      <c r="C22" s="154">
        <v>204</v>
      </c>
      <c r="D22" s="154">
        <v>12</v>
      </c>
      <c r="E22" s="154">
        <v>134</v>
      </c>
      <c r="F22" s="154">
        <v>94.444442749023438</v>
      </c>
      <c r="G22" s="154">
        <v>5.5555553436279297</v>
      </c>
      <c r="H22" s="154">
        <v>332</v>
      </c>
      <c r="I22" s="154">
        <v>6</v>
      </c>
      <c r="J22" s="154">
        <v>1</v>
      </c>
      <c r="K22" s="154">
        <v>4</v>
      </c>
      <c r="L22" s="154">
        <v>7</v>
      </c>
      <c r="M22" s="154"/>
      <c r="N22" s="154">
        <v>94.857139587402344</v>
      </c>
      <c r="O22" s="154">
        <v>1.7142857313156128</v>
      </c>
      <c r="P22" s="154">
        <v>0.28571429848670959</v>
      </c>
      <c r="Q22" s="154">
        <v>1.1428571939468384</v>
      </c>
      <c r="R22" s="154">
        <v>2</v>
      </c>
      <c r="S22" s="154">
        <v>214</v>
      </c>
      <c r="T22" s="154">
        <v>43</v>
      </c>
      <c r="U22" s="154">
        <v>48</v>
      </c>
      <c r="V22" s="154">
        <v>29</v>
      </c>
      <c r="W22" s="154">
        <v>16</v>
      </c>
      <c r="X22" s="154">
        <v>61.142856597900391</v>
      </c>
      <c r="Y22" s="154">
        <v>12.285714149475098</v>
      </c>
      <c r="Z22" s="154">
        <v>13.714285850524902</v>
      </c>
      <c r="AA22" s="154">
        <v>8.2857141494750977</v>
      </c>
      <c r="AB22" s="154">
        <v>4.5714287757873535</v>
      </c>
      <c r="AC22" s="154">
        <v>27</v>
      </c>
      <c r="AD22" s="154">
        <v>5</v>
      </c>
      <c r="AE22" s="154">
        <v>259</v>
      </c>
      <c r="AF22" s="154">
        <v>59</v>
      </c>
      <c r="AG22" s="154">
        <v>7.7142858505249023</v>
      </c>
      <c r="AH22" s="154">
        <v>1.4285714626312256</v>
      </c>
      <c r="AI22" s="154">
        <v>74</v>
      </c>
      <c r="AJ22" s="154">
        <v>16.857143402099609</v>
      </c>
      <c r="AK22" s="154">
        <v>117</v>
      </c>
      <c r="AL22" s="154">
        <v>33</v>
      </c>
      <c r="AM22" s="154">
        <v>35</v>
      </c>
      <c r="AN22" s="154">
        <v>24</v>
      </c>
      <c r="AO22" s="154">
        <v>101</v>
      </c>
      <c r="AP22" s="154">
        <v>40</v>
      </c>
      <c r="AQ22" s="154">
        <v>37.741935729980469</v>
      </c>
      <c r="AR22" s="154">
        <v>10.645161628723145</v>
      </c>
      <c r="AS22" s="154">
        <v>11.290322303771973</v>
      </c>
      <c r="AT22" s="154">
        <v>7.7419352531433105</v>
      </c>
      <c r="AU22" s="154">
        <v>32.580646514892578</v>
      </c>
      <c r="AV22" s="154">
        <v>95</v>
      </c>
      <c r="AW22" s="154">
        <v>100</v>
      </c>
      <c r="AX22" s="154">
        <v>65</v>
      </c>
      <c r="AY22" s="154">
        <v>35</v>
      </c>
      <c r="AZ22" s="154">
        <v>9</v>
      </c>
      <c r="BA22" s="154">
        <v>46</v>
      </c>
      <c r="BB22" s="154">
        <v>31.25</v>
      </c>
      <c r="BC22" s="154">
        <v>32.894737243652344</v>
      </c>
      <c r="BD22" s="154">
        <v>21.38157844543457</v>
      </c>
      <c r="BE22" s="154">
        <v>11.513157844543457</v>
      </c>
      <c r="BF22" s="154">
        <v>2.9605262279510498</v>
      </c>
    </row>
    <row r="23" spans="1:58" x14ac:dyDescent="0.3">
      <c r="A23" s="151" t="s">
        <v>408</v>
      </c>
      <c r="B23" s="151" t="s">
        <v>407</v>
      </c>
      <c r="C23" s="152">
        <v>118</v>
      </c>
      <c r="D23" s="152">
        <v>5</v>
      </c>
      <c r="E23" s="152">
        <v>25</v>
      </c>
      <c r="F23" s="152">
        <v>95.934959411621094</v>
      </c>
      <c r="G23" s="152">
        <v>4.0650405883789063</v>
      </c>
      <c r="H23" s="152">
        <v>110</v>
      </c>
      <c r="I23" s="152">
        <v>4</v>
      </c>
      <c r="J23" s="152">
        <v>1</v>
      </c>
      <c r="K23" s="152">
        <v>27</v>
      </c>
      <c r="L23" s="152">
        <v>1</v>
      </c>
      <c r="M23" s="152">
        <v>5</v>
      </c>
      <c r="N23" s="152">
        <v>76.923080444335938</v>
      </c>
      <c r="O23" s="152">
        <v>2.7972028255462646</v>
      </c>
      <c r="P23" s="152">
        <v>0.69930070638656616</v>
      </c>
      <c r="Q23" s="152">
        <v>18.881118774414063</v>
      </c>
      <c r="R23" s="152">
        <v>0.69930070638656616</v>
      </c>
      <c r="S23" s="152">
        <v>29</v>
      </c>
      <c r="T23" s="152">
        <v>28</v>
      </c>
      <c r="U23" s="152">
        <v>32</v>
      </c>
      <c r="V23" s="152">
        <v>26</v>
      </c>
      <c r="W23" s="152">
        <v>33</v>
      </c>
      <c r="X23" s="152">
        <v>19.594594955444336</v>
      </c>
      <c r="Y23" s="152">
        <v>18.918918609619141</v>
      </c>
      <c r="Z23" s="152">
        <v>21.621622085571289</v>
      </c>
      <c r="AA23" s="152">
        <v>17.567567825317383</v>
      </c>
      <c r="AB23" s="152">
        <v>22.297296524047852</v>
      </c>
      <c r="AC23" s="152">
        <v>13</v>
      </c>
      <c r="AD23" s="152">
        <v>2</v>
      </c>
      <c r="AE23" s="152">
        <v>97</v>
      </c>
      <c r="AF23" s="152">
        <v>36</v>
      </c>
      <c r="AG23" s="152">
        <v>8.7837839126586914</v>
      </c>
      <c r="AH23" s="152">
        <v>1.3513513803482056</v>
      </c>
      <c r="AI23" s="152">
        <v>65.540542602539063</v>
      </c>
      <c r="AJ23" s="152">
        <v>24.324323654174805</v>
      </c>
      <c r="AK23" s="152">
        <v>35</v>
      </c>
      <c r="AL23" s="152">
        <v>12</v>
      </c>
      <c r="AM23" s="152">
        <v>20</v>
      </c>
      <c r="AN23" s="152">
        <v>16</v>
      </c>
      <c r="AO23" s="152">
        <v>54</v>
      </c>
      <c r="AP23" s="152">
        <v>11</v>
      </c>
      <c r="AQ23" s="152">
        <v>25.547445297241211</v>
      </c>
      <c r="AR23" s="152">
        <v>8.7591238021850586</v>
      </c>
      <c r="AS23" s="152">
        <v>14.598540306091309</v>
      </c>
      <c r="AT23" s="152">
        <v>11.678832054138184</v>
      </c>
      <c r="AU23" s="152">
        <v>39.416057586669922</v>
      </c>
      <c r="AV23" s="152">
        <v>38</v>
      </c>
      <c r="AW23" s="152">
        <v>48</v>
      </c>
      <c r="AX23" s="152">
        <v>34</v>
      </c>
      <c r="AY23" s="152">
        <v>17</v>
      </c>
      <c r="AZ23" s="152"/>
      <c r="BA23" s="152">
        <v>11</v>
      </c>
      <c r="BB23" s="152">
        <v>27.737226486206055</v>
      </c>
      <c r="BC23" s="152">
        <v>35.036495208740234</v>
      </c>
      <c r="BD23" s="152">
        <v>24.81751823425293</v>
      </c>
      <c r="BE23" s="152">
        <v>12.408759117126465</v>
      </c>
      <c r="BF23" s="152"/>
    </row>
    <row r="24" spans="1:58" x14ac:dyDescent="0.3">
      <c r="A24" s="153" t="s">
        <v>488</v>
      </c>
      <c r="B24" s="153" t="s">
        <v>487</v>
      </c>
      <c r="C24" s="154">
        <v>2</v>
      </c>
      <c r="D24" s="154"/>
      <c r="E24" s="154">
        <v>55</v>
      </c>
      <c r="F24" s="154"/>
      <c r="G24" s="154"/>
      <c r="H24" s="154">
        <v>36</v>
      </c>
      <c r="I24" s="154">
        <v>3</v>
      </c>
      <c r="J24" s="154">
        <v>3</v>
      </c>
      <c r="K24" s="154">
        <v>9</v>
      </c>
      <c r="L24" s="154">
        <v>2</v>
      </c>
      <c r="M24" s="154">
        <v>4</v>
      </c>
      <c r="N24" s="154">
        <v>67.924530029296875</v>
      </c>
      <c r="O24" s="154">
        <v>5.6603775024414063</v>
      </c>
      <c r="P24" s="154">
        <v>5.6603775024414063</v>
      </c>
      <c r="Q24" s="154">
        <v>16.981132507324219</v>
      </c>
      <c r="R24" s="154">
        <v>3.7735848426818848</v>
      </c>
      <c r="S24" s="154">
        <v>26</v>
      </c>
      <c r="T24" s="154">
        <v>12</v>
      </c>
      <c r="U24" s="154">
        <v>8</v>
      </c>
      <c r="V24" s="154">
        <v>8</v>
      </c>
      <c r="W24" s="154">
        <v>3</v>
      </c>
      <c r="X24" s="154">
        <v>45.614036560058594</v>
      </c>
      <c r="Y24" s="154">
        <v>21.052631378173828</v>
      </c>
      <c r="Z24" s="154">
        <v>14.035087585449219</v>
      </c>
      <c r="AA24" s="154">
        <v>14.035087585449219</v>
      </c>
      <c r="AB24" s="154">
        <v>5.263157844543457</v>
      </c>
      <c r="AC24" s="154">
        <v>2</v>
      </c>
      <c r="AD24" s="154">
        <v>5</v>
      </c>
      <c r="AE24" s="154">
        <v>22</v>
      </c>
      <c r="AF24" s="154">
        <v>28</v>
      </c>
      <c r="AG24" s="154">
        <v>3.5087718963623047</v>
      </c>
      <c r="AH24" s="154">
        <v>8.7719297409057617</v>
      </c>
      <c r="AI24" s="154">
        <v>38.596492767333984</v>
      </c>
      <c r="AJ24" s="154">
        <v>49.122806549072266</v>
      </c>
      <c r="AK24" s="154">
        <v>20</v>
      </c>
      <c r="AL24" s="154">
        <v>6</v>
      </c>
      <c r="AM24" s="154">
        <v>7</v>
      </c>
      <c r="AN24" s="154">
        <v>2</v>
      </c>
      <c r="AO24" s="154">
        <v>14</v>
      </c>
      <c r="AP24" s="154">
        <v>8</v>
      </c>
      <c r="AQ24" s="154">
        <v>40.816326141357422</v>
      </c>
      <c r="AR24" s="154">
        <v>12.244897842407227</v>
      </c>
      <c r="AS24" s="154">
        <v>14.285714149475098</v>
      </c>
      <c r="AT24" s="154">
        <v>4.0816326141357422</v>
      </c>
      <c r="AU24" s="154">
        <v>28.571428298950195</v>
      </c>
      <c r="AV24" s="154">
        <v>7</v>
      </c>
      <c r="AW24" s="154">
        <v>18</v>
      </c>
      <c r="AX24" s="154">
        <v>7</v>
      </c>
      <c r="AY24" s="154">
        <v>10</v>
      </c>
      <c r="AZ24" s="154">
        <v>2</v>
      </c>
      <c r="BA24" s="154">
        <v>13</v>
      </c>
      <c r="BB24" s="154">
        <v>15.909090995788574</v>
      </c>
      <c r="BC24" s="154">
        <v>40.909091949462891</v>
      </c>
      <c r="BD24" s="154">
        <v>15.909090995788574</v>
      </c>
      <c r="BE24" s="154">
        <v>22.727272033691406</v>
      </c>
      <c r="BF24" s="154">
        <v>4.5454545021057129</v>
      </c>
    </row>
    <row r="25" spans="1:58" x14ac:dyDescent="0.3">
      <c r="A25" s="151" t="s">
        <v>284</v>
      </c>
      <c r="B25" s="151" t="s">
        <v>283</v>
      </c>
      <c r="C25" s="152">
        <v>151</v>
      </c>
      <c r="D25" s="152">
        <v>16</v>
      </c>
      <c r="E25" s="152">
        <v>97</v>
      </c>
      <c r="F25" s="152">
        <v>90.419158935546875</v>
      </c>
      <c r="G25" s="152">
        <v>9.5808382034301758</v>
      </c>
      <c r="H25" s="152">
        <v>223</v>
      </c>
      <c r="I25" s="152">
        <v>4</v>
      </c>
      <c r="J25" s="152">
        <v>15</v>
      </c>
      <c r="K25" s="152">
        <v>7</v>
      </c>
      <c r="L25" s="152">
        <v>9</v>
      </c>
      <c r="M25" s="152">
        <v>6</v>
      </c>
      <c r="N25" s="152">
        <v>86.434104919433594</v>
      </c>
      <c r="O25" s="152">
        <v>1.5503876209259033</v>
      </c>
      <c r="P25" s="152">
        <v>5.8139533996582031</v>
      </c>
      <c r="Q25" s="152">
        <v>2.7131783962249756</v>
      </c>
      <c r="R25" s="152">
        <v>3.4883720874786377</v>
      </c>
      <c r="S25" s="152">
        <v>51</v>
      </c>
      <c r="T25" s="152">
        <v>61</v>
      </c>
      <c r="U25" s="152">
        <v>58</v>
      </c>
      <c r="V25" s="152">
        <v>40</v>
      </c>
      <c r="W25" s="152">
        <v>54</v>
      </c>
      <c r="X25" s="152">
        <v>19.318181991577148</v>
      </c>
      <c r="Y25" s="152">
        <v>23.106060028076172</v>
      </c>
      <c r="Z25" s="152">
        <v>21.969696044921875</v>
      </c>
      <c r="AA25" s="152">
        <v>15.151515007019043</v>
      </c>
      <c r="AB25" s="152">
        <v>20.454545974731445</v>
      </c>
      <c r="AC25" s="152">
        <v>21</v>
      </c>
      <c r="AD25" s="152">
        <v>5</v>
      </c>
      <c r="AE25" s="152">
        <v>141</v>
      </c>
      <c r="AF25" s="152">
        <v>97</v>
      </c>
      <c r="AG25" s="152">
        <v>7.9545454978942871</v>
      </c>
      <c r="AH25" s="152">
        <v>1.8939393758773804</v>
      </c>
      <c r="AI25" s="152">
        <v>53.409091949462891</v>
      </c>
      <c r="AJ25" s="152">
        <v>36.742424011230469</v>
      </c>
      <c r="AK25" s="152">
        <v>54</v>
      </c>
      <c r="AL25" s="152">
        <v>21</v>
      </c>
      <c r="AM25" s="152">
        <v>17</v>
      </c>
      <c r="AN25" s="152">
        <v>33</v>
      </c>
      <c r="AO25" s="152">
        <v>108</v>
      </c>
      <c r="AP25" s="152">
        <v>31</v>
      </c>
      <c r="AQ25" s="152">
        <v>23.175966262817383</v>
      </c>
      <c r="AR25" s="152">
        <v>9.0128755569458008</v>
      </c>
      <c r="AS25" s="152">
        <v>7.2961373329162598</v>
      </c>
      <c r="AT25" s="152">
        <v>14.163089752197266</v>
      </c>
      <c r="AU25" s="152">
        <v>46.351932525634766</v>
      </c>
      <c r="AV25" s="152">
        <v>33</v>
      </c>
      <c r="AW25" s="152">
        <v>76</v>
      </c>
      <c r="AX25" s="152">
        <v>49</v>
      </c>
      <c r="AY25" s="152">
        <v>26</v>
      </c>
      <c r="AZ25" s="152">
        <v>25</v>
      </c>
      <c r="BA25" s="152">
        <v>55</v>
      </c>
      <c r="BB25" s="152">
        <v>15.789473533630371</v>
      </c>
      <c r="BC25" s="152">
        <v>36.363636016845703</v>
      </c>
      <c r="BD25" s="152">
        <v>23.444976806640625</v>
      </c>
      <c r="BE25" s="152">
        <v>12.440191268920898</v>
      </c>
      <c r="BF25" s="152">
        <v>11.961722373962402</v>
      </c>
    </row>
    <row r="26" spans="1:58" x14ac:dyDescent="0.3">
      <c r="A26" s="153" t="s">
        <v>554</v>
      </c>
      <c r="B26" s="153" t="s">
        <v>553</v>
      </c>
      <c r="C26" s="154">
        <v>52</v>
      </c>
      <c r="D26" s="154">
        <v>16</v>
      </c>
      <c r="E26" s="154">
        <v>282</v>
      </c>
      <c r="F26" s="154">
        <v>76.470588684082031</v>
      </c>
      <c r="G26" s="154">
        <v>23.529411315917969</v>
      </c>
      <c r="H26" s="154">
        <v>290</v>
      </c>
      <c r="I26" s="154">
        <v>19</v>
      </c>
      <c r="J26" s="154">
        <v>9</v>
      </c>
      <c r="K26" s="154">
        <v>5</v>
      </c>
      <c r="L26" s="154">
        <v>4</v>
      </c>
      <c r="M26" s="154">
        <v>23</v>
      </c>
      <c r="N26" s="154">
        <v>88.685012817382813</v>
      </c>
      <c r="O26" s="154">
        <v>5.8103976249694824</v>
      </c>
      <c r="P26" s="154">
        <v>2.752293586730957</v>
      </c>
      <c r="Q26" s="154">
        <v>1.5290520191192627</v>
      </c>
      <c r="R26" s="154">
        <v>1.2232415676116943</v>
      </c>
      <c r="S26" s="154">
        <v>49</v>
      </c>
      <c r="T26" s="154">
        <v>61</v>
      </c>
      <c r="U26" s="154">
        <v>67</v>
      </c>
      <c r="V26" s="154">
        <v>59</v>
      </c>
      <c r="W26" s="154">
        <v>114</v>
      </c>
      <c r="X26" s="154">
        <v>14</v>
      </c>
      <c r="Y26" s="154">
        <v>17.428571701049805</v>
      </c>
      <c r="Z26" s="154">
        <v>19.142856597900391</v>
      </c>
      <c r="AA26" s="154">
        <v>16.857143402099609</v>
      </c>
      <c r="AB26" s="154">
        <v>32.571430206298828</v>
      </c>
      <c r="AC26" s="154">
        <v>25</v>
      </c>
      <c r="AD26" s="154"/>
      <c r="AE26" s="154">
        <v>151</v>
      </c>
      <c r="AF26" s="154">
        <v>174</v>
      </c>
      <c r="AG26" s="154">
        <v>7.1428570747375488</v>
      </c>
      <c r="AH26" s="154"/>
      <c r="AI26" s="154">
        <v>43.142856597900391</v>
      </c>
      <c r="AJ26" s="154">
        <v>49.714286804199219</v>
      </c>
      <c r="AK26" s="154">
        <v>58</v>
      </c>
      <c r="AL26" s="154">
        <v>30</v>
      </c>
      <c r="AM26" s="154">
        <v>46</v>
      </c>
      <c r="AN26" s="154">
        <v>31</v>
      </c>
      <c r="AO26" s="154">
        <v>162</v>
      </c>
      <c r="AP26" s="154">
        <v>23</v>
      </c>
      <c r="AQ26" s="154">
        <v>17.737003326416016</v>
      </c>
      <c r="AR26" s="154">
        <v>9.174311637878418</v>
      </c>
      <c r="AS26" s="154">
        <v>14.067277908325195</v>
      </c>
      <c r="AT26" s="154">
        <v>9.4801225662231445</v>
      </c>
      <c r="AU26" s="154">
        <v>49.541282653808594</v>
      </c>
      <c r="AV26" s="154">
        <v>41</v>
      </c>
      <c r="AW26" s="154">
        <v>80</v>
      </c>
      <c r="AX26" s="154">
        <v>47</v>
      </c>
      <c r="AY26" s="154">
        <v>72</v>
      </c>
      <c r="AZ26" s="154">
        <v>28</v>
      </c>
      <c r="BA26" s="154">
        <v>82</v>
      </c>
      <c r="BB26" s="154">
        <v>15.298507690429688</v>
      </c>
      <c r="BC26" s="154">
        <v>29.850746154785156</v>
      </c>
      <c r="BD26" s="154">
        <v>17.537313461303711</v>
      </c>
      <c r="BE26" s="154">
        <v>26.865671157836914</v>
      </c>
      <c r="BF26" s="154">
        <v>10.447761535644531</v>
      </c>
    </row>
    <row r="27" spans="1:58" x14ac:dyDescent="0.3">
      <c r="A27" s="151" t="s">
        <v>369</v>
      </c>
      <c r="B27" s="151" t="s">
        <v>368</v>
      </c>
      <c r="C27" s="152">
        <v>68</v>
      </c>
      <c r="D27" s="152">
        <v>9</v>
      </c>
      <c r="E27" s="152">
        <v>55</v>
      </c>
      <c r="F27" s="152">
        <v>88.311691284179688</v>
      </c>
      <c r="G27" s="152">
        <v>11.688311576843262</v>
      </c>
      <c r="H27" s="152">
        <v>123</v>
      </c>
      <c r="I27" s="152">
        <v>3</v>
      </c>
      <c r="J27" s="152">
        <v>1</v>
      </c>
      <c r="K27" s="152"/>
      <c r="L27" s="152">
        <v>2</v>
      </c>
      <c r="M27" s="152">
        <v>3</v>
      </c>
      <c r="N27" s="152">
        <v>95.348838806152344</v>
      </c>
      <c r="O27" s="152">
        <v>2.3255813121795654</v>
      </c>
      <c r="P27" s="152">
        <v>0.77519381046295166</v>
      </c>
      <c r="Q27" s="152"/>
      <c r="R27" s="152">
        <v>1.5503876209259033</v>
      </c>
      <c r="S27" s="152">
        <v>9</v>
      </c>
      <c r="T27" s="152">
        <v>8</v>
      </c>
      <c r="U27" s="152">
        <v>32</v>
      </c>
      <c r="V27" s="152">
        <v>42</v>
      </c>
      <c r="W27" s="152">
        <v>41</v>
      </c>
      <c r="X27" s="152">
        <v>6.8181819915771484</v>
      </c>
      <c r="Y27" s="152">
        <v>6.0606060028076172</v>
      </c>
      <c r="Z27" s="152">
        <v>24.242424011230469</v>
      </c>
      <c r="AA27" s="152">
        <v>31.818181991577148</v>
      </c>
      <c r="AB27" s="152">
        <v>31.060606002807617</v>
      </c>
      <c r="AC27" s="152">
        <v>9</v>
      </c>
      <c r="AD27" s="152">
        <v>2</v>
      </c>
      <c r="AE27" s="152">
        <v>115</v>
      </c>
      <c r="AF27" s="152">
        <v>6</v>
      </c>
      <c r="AG27" s="152">
        <v>6.8181819915771484</v>
      </c>
      <c r="AH27" s="152">
        <v>1.5151515007019043</v>
      </c>
      <c r="AI27" s="152">
        <v>87.1212158203125</v>
      </c>
      <c r="AJ27" s="152">
        <v>4.5454545021057129</v>
      </c>
      <c r="AK27" s="152">
        <v>20</v>
      </c>
      <c r="AL27" s="152">
        <v>8</v>
      </c>
      <c r="AM27" s="152">
        <v>9</v>
      </c>
      <c r="AN27" s="152">
        <v>3</v>
      </c>
      <c r="AO27" s="152">
        <v>68</v>
      </c>
      <c r="AP27" s="152">
        <v>24</v>
      </c>
      <c r="AQ27" s="152">
        <v>18.518518447875977</v>
      </c>
      <c r="AR27" s="152">
        <v>7.407407283782959</v>
      </c>
      <c r="AS27" s="152">
        <v>8.3333330154418945</v>
      </c>
      <c r="AT27" s="152">
        <v>2.7777776718139648</v>
      </c>
      <c r="AU27" s="152">
        <v>62.962963104248047</v>
      </c>
      <c r="AV27" s="152">
        <v>23</v>
      </c>
      <c r="AW27" s="152">
        <v>27</v>
      </c>
      <c r="AX27" s="152">
        <v>20</v>
      </c>
      <c r="AY27" s="152">
        <v>22</v>
      </c>
      <c r="AZ27" s="152">
        <v>1</v>
      </c>
      <c r="BA27" s="152">
        <v>39</v>
      </c>
      <c r="BB27" s="152">
        <v>24.731182098388672</v>
      </c>
      <c r="BC27" s="152">
        <v>29.032258987426758</v>
      </c>
      <c r="BD27" s="152">
        <v>21.505376815795898</v>
      </c>
      <c r="BE27" s="152">
        <v>23.655914306640625</v>
      </c>
      <c r="BF27" s="152">
        <v>1.0752688646316528</v>
      </c>
    </row>
    <row r="28" spans="1:58" x14ac:dyDescent="0.3">
      <c r="A28" s="153" t="s">
        <v>262</v>
      </c>
      <c r="B28" s="153" t="s">
        <v>29</v>
      </c>
      <c r="C28" s="154">
        <v>91</v>
      </c>
      <c r="D28" s="154">
        <v>5</v>
      </c>
      <c r="E28" s="154">
        <v>33</v>
      </c>
      <c r="F28" s="154">
        <v>94.791664123535156</v>
      </c>
      <c r="G28" s="154">
        <v>5.2083334922790527</v>
      </c>
      <c r="H28" s="154">
        <v>112</v>
      </c>
      <c r="I28" s="154">
        <v>3</v>
      </c>
      <c r="J28" s="154">
        <v>7</v>
      </c>
      <c r="K28" s="154"/>
      <c r="L28" s="154">
        <v>4</v>
      </c>
      <c r="M28" s="154">
        <v>3</v>
      </c>
      <c r="N28" s="154">
        <v>88.888885498046875</v>
      </c>
      <c r="O28" s="154">
        <v>2.3809523582458496</v>
      </c>
      <c r="P28" s="154">
        <v>5.5555553436279297</v>
      </c>
      <c r="Q28" s="154"/>
      <c r="R28" s="154">
        <v>3.1746032238006592</v>
      </c>
      <c r="S28" s="154">
        <v>24</v>
      </c>
      <c r="T28" s="154">
        <v>19</v>
      </c>
      <c r="U28" s="154">
        <v>37</v>
      </c>
      <c r="V28" s="154">
        <v>23</v>
      </c>
      <c r="W28" s="154">
        <v>26</v>
      </c>
      <c r="X28" s="154">
        <v>18.604650497436523</v>
      </c>
      <c r="Y28" s="154">
        <v>14.728682518005371</v>
      </c>
      <c r="Z28" s="154">
        <v>28.682170867919922</v>
      </c>
      <c r="AA28" s="154">
        <v>17.829458236694336</v>
      </c>
      <c r="AB28" s="154">
        <v>20.155038833618164</v>
      </c>
      <c r="AC28" s="154">
        <v>11</v>
      </c>
      <c r="AD28" s="154">
        <v>2</v>
      </c>
      <c r="AE28" s="154">
        <v>112</v>
      </c>
      <c r="AF28" s="154">
        <v>4</v>
      </c>
      <c r="AG28" s="154">
        <v>8.5271320343017578</v>
      </c>
      <c r="AH28" s="154">
        <v>1.5503876209259033</v>
      </c>
      <c r="AI28" s="154">
        <v>86.821708679199219</v>
      </c>
      <c r="AJ28" s="154">
        <v>3.1007752418518066</v>
      </c>
      <c r="AK28" s="154">
        <v>25</v>
      </c>
      <c r="AL28" s="154">
        <v>19</v>
      </c>
      <c r="AM28" s="154">
        <v>15</v>
      </c>
      <c r="AN28" s="154">
        <v>7</v>
      </c>
      <c r="AO28" s="154">
        <v>58</v>
      </c>
      <c r="AP28" s="154">
        <v>5</v>
      </c>
      <c r="AQ28" s="154">
        <v>20.161291122436523</v>
      </c>
      <c r="AR28" s="154">
        <v>15.322580337524414</v>
      </c>
      <c r="AS28" s="154">
        <v>12.096774101257324</v>
      </c>
      <c r="AT28" s="154">
        <v>5.6451611518859863</v>
      </c>
      <c r="AU28" s="154">
        <v>46.774192810058594</v>
      </c>
      <c r="AV28" s="154">
        <v>15</v>
      </c>
      <c r="AW28" s="154">
        <v>41</v>
      </c>
      <c r="AX28" s="154">
        <v>28</v>
      </c>
      <c r="AY28" s="154">
        <v>28</v>
      </c>
      <c r="AZ28" s="154">
        <v>12</v>
      </c>
      <c r="BA28" s="154">
        <v>5</v>
      </c>
      <c r="BB28" s="154">
        <v>12.096774101257324</v>
      </c>
      <c r="BC28" s="154">
        <v>33.064517974853516</v>
      </c>
      <c r="BD28" s="154">
        <v>22.580644607543945</v>
      </c>
      <c r="BE28" s="154">
        <v>22.580644607543945</v>
      </c>
      <c r="BF28" s="154">
        <v>9.6774196624755859</v>
      </c>
    </row>
    <row r="29" spans="1:58" x14ac:dyDescent="0.3">
      <c r="A29" s="151" t="s">
        <v>500</v>
      </c>
      <c r="B29" s="151" t="s">
        <v>499</v>
      </c>
      <c r="C29" s="152">
        <v>6</v>
      </c>
      <c r="D29" s="152">
        <v>1</v>
      </c>
      <c r="E29" s="152">
        <v>127</v>
      </c>
      <c r="F29" s="152">
        <v>85.714286804199219</v>
      </c>
      <c r="G29" s="152">
        <v>14.285714149475098</v>
      </c>
      <c r="H29" s="152">
        <v>121</v>
      </c>
      <c r="I29" s="152">
        <v>3</v>
      </c>
      <c r="J29" s="152">
        <v>3</v>
      </c>
      <c r="K29" s="152">
        <v>1</v>
      </c>
      <c r="L29" s="152">
        <v>1</v>
      </c>
      <c r="M29" s="152">
        <v>5</v>
      </c>
      <c r="N29" s="152">
        <v>93.798446655273438</v>
      </c>
      <c r="O29" s="152">
        <v>2.3255813121795654</v>
      </c>
      <c r="P29" s="152">
        <v>2.3255813121795654</v>
      </c>
      <c r="Q29" s="152">
        <v>0.77519381046295166</v>
      </c>
      <c r="R29" s="152">
        <v>0.77519381046295166</v>
      </c>
      <c r="S29" s="152">
        <v>24</v>
      </c>
      <c r="T29" s="152">
        <v>43</v>
      </c>
      <c r="U29" s="152">
        <v>55</v>
      </c>
      <c r="V29" s="152">
        <v>9</v>
      </c>
      <c r="W29" s="152">
        <v>3</v>
      </c>
      <c r="X29" s="152">
        <v>17.91044807434082</v>
      </c>
      <c r="Y29" s="152">
        <v>32.089553833007813</v>
      </c>
      <c r="Z29" s="152">
        <v>41.044776916503906</v>
      </c>
      <c r="AA29" s="152">
        <v>6.7164177894592285</v>
      </c>
      <c r="AB29" s="152">
        <v>2.2388060092926025</v>
      </c>
      <c r="AC29" s="152">
        <v>8</v>
      </c>
      <c r="AD29" s="152">
        <v>4</v>
      </c>
      <c r="AE29" s="152">
        <v>94</v>
      </c>
      <c r="AF29" s="152">
        <v>28</v>
      </c>
      <c r="AG29" s="152">
        <v>5.970149040222168</v>
      </c>
      <c r="AH29" s="152">
        <v>2.985074520111084</v>
      </c>
      <c r="AI29" s="152">
        <v>70.149253845214844</v>
      </c>
      <c r="AJ29" s="152">
        <v>20.895523071289063</v>
      </c>
      <c r="AK29" s="152">
        <v>17</v>
      </c>
      <c r="AL29" s="152">
        <v>6</v>
      </c>
      <c r="AM29" s="152">
        <v>12</v>
      </c>
      <c r="AN29" s="152">
        <v>11</v>
      </c>
      <c r="AO29" s="152">
        <v>63</v>
      </c>
      <c r="AP29" s="152">
        <v>25</v>
      </c>
      <c r="AQ29" s="152">
        <v>15.596330642700195</v>
      </c>
      <c r="AR29" s="152">
        <v>5.5045871734619141</v>
      </c>
      <c r="AS29" s="152">
        <v>11.009174346923828</v>
      </c>
      <c r="AT29" s="152">
        <v>10.091743469238281</v>
      </c>
      <c r="AU29" s="152">
        <v>57.798164367675781</v>
      </c>
      <c r="AV29" s="152">
        <v>30</v>
      </c>
      <c r="AW29" s="152">
        <v>51</v>
      </c>
      <c r="AX29" s="152">
        <v>15</v>
      </c>
      <c r="AY29" s="152">
        <v>12</v>
      </c>
      <c r="AZ29" s="152">
        <v>2</v>
      </c>
      <c r="BA29" s="152">
        <v>24</v>
      </c>
      <c r="BB29" s="152">
        <v>27.272727966308594</v>
      </c>
      <c r="BC29" s="152">
        <v>46.363636016845703</v>
      </c>
      <c r="BD29" s="152">
        <v>13.636363983154297</v>
      </c>
      <c r="BE29" s="152">
        <v>10.909090995788574</v>
      </c>
      <c r="BF29" s="152">
        <v>1.8181818723678589</v>
      </c>
    </row>
    <row r="30" spans="1:58" x14ac:dyDescent="0.3">
      <c r="A30" s="153" t="s">
        <v>454</v>
      </c>
      <c r="B30" s="153" t="s">
        <v>453</v>
      </c>
      <c r="C30" s="154">
        <v>112</v>
      </c>
      <c r="D30" s="154">
        <v>20</v>
      </c>
      <c r="E30" s="154">
        <v>79</v>
      </c>
      <c r="F30" s="154">
        <v>84.848487854003906</v>
      </c>
      <c r="G30" s="154">
        <v>15.151515007019043</v>
      </c>
      <c r="H30" s="154">
        <v>165</v>
      </c>
      <c r="I30" s="154">
        <v>8</v>
      </c>
      <c r="J30" s="154">
        <v>9</v>
      </c>
      <c r="K30" s="154">
        <v>5</v>
      </c>
      <c r="L30" s="154">
        <v>8</v>
      </c>
      <c r="M30" s="154">
        <v>16</v>
      </c>
      <c r="N30" s="154">
        <v>84.615386962890625</v>
      </c>
      <c r="O30" s="154">
        <v>4.1025643348693848</v>
      </c>
      <c r="P30" s="154">
        <v>4.615384578704834</v>
      </c>
      <c r="Q30" s="154">
        <v>2.5641026496887207</v>
      </c>
      <c r="R30" s="154">
        <v>4.1025643348693848</v>
      </c>
      <c r="S30" s="154">
        <v>8</v>
      </c>
      <c r="T30" s="154">
        <v>36</v>
      </c>
      <c r="U30" s="154">
        <v>62</v>
      </c>
      <c r="V30" s="154">
        <v>51</v>
      </c>
      <c r="W30" s="154">
        <v>54</v>
      </c>
      <c r="X30" s="154">
        <v>3.7914690971374512</v>
      </c>
      <c r="Y30" s="154">
        <v>17.061611175537109</v>
      </c>
      <c r="Z30" s="154">
        <v>29.383886337280273</v>
      </c>
      <c r="AA30" s="154">
        <v>24.170616149902344</v>
      </c>
      <c r="AB30" s="154">
        <v>25.592416763305664</v>
      </c>
      <c r="AC30" s="154">
        <v>13</v>
      </c>
      <c r="AD30" s="154">
        <v>3</v>
      </c>
      <c r="AE30" s="154">
        <v>132</v>
      </c>
      <c r="AF30" s="154">
        <v>63</v>
      </c>
      <c r="AG30" s="154">
        <v>6.161137580871582</v>
      </c>
      <c r="AH30" s="154">
        <v>1.421800971031189</v>
      </c>
      <c r="AI30" s="154">
        <v>62.559242248535156</v>
      </c>
      <c r="AJ30" s="154">
        <v>29.857820510864258</v>
      </c>
      <c r="AK30" s="154">
        <v>34</v>
      </c>
      <c r="AL30" s="154">
        <v>11</v>
      </c>
      <c r="AM30" s="154">
        <v>28</v>
      </c>
      <c r="AN30" s="154">
        <v>11</v>
      </c>
      <c r="AO30" s="154">
        <v>101</v>
      </c>
      <c r="AP30" s="154">
        <v>26</v>
      </c>
      <c r="AQ30" s="154">
        <v>18.378377914428711</v>
      </c>
      <c r="AR30" s="154">
        <v>5.9459457397460938</v>
      </c>
      <c r="AS30" s="154">
        <v>15.135134696960449</v>
      </c>
      <c r="AT30" s="154">
        <v>5.9459457397460938</v>
      </c>
      <c r="AU30" s="154">
        <v>54.594593048095703</v>
      </c>
      <c r="AV30" s="154">
        <v>51</v>
      </c>
      <c r="AW30" s="154">
        <v>67</v>
      </c>
      <c r="AX30" s="154">
        <v>30</v>
      </c>
      <c r="AY30" s="154">
        <v>35</v>
      </c>
      <c r="AZ30" s="154">
        <v>7</v>
      </c>
      <c r="BA30" s="154">
        <v>21</v>
      </c>
      <c r="BB30" s="154">
        <v>26.842105865478516</v>
      </c>
      <c r="BC30" s="154">
        <v>35.263156890869141</v>
      </c>
      <c r="BD30" s="154">
        <v>15.789473533630371</v>
      </c>
      <c r="BE30" s="154">
        <v>18.421052932739258</v>
      </c>
      <c r="BF30" s="154">
        <v>3.6842105388641357</v>
      </c>
    </row>
    <row r="31" spans="1:58" x14ac:dyDescent="0.3">
      <c r="A31" s="151" t="s">
        <v>412</v>
      </c>
      <c r="B31" s="151" t="s">
        <v>411</v>
      </c>
      <c r="C31" s="152">
        <v>21</v>
      </c>
      <c r="D31" s="152">
        <v>1</v>
      </c>
      <c r="E31" s="152">
        <v>114</v>
      </c>
      <c r="F31" s="152">
        <v>95.454544067382813</v>
      </c>
      <c r="G31" s="152">
        <v>4.5454545021057129</v>
      </c>
      <c r="H31" s="152">
        <v>111</v>
      </c>
      <c r="I31" s="152">
        <v>8</v>
      </c>
      <c r="J31" s="152">
        <v>4</v>
      </c>
      <c r="K31" s="152">
        <v>2</v>
      </c>
      <c r="L31" s="152">
        <v>6</v>
      </c>
      <c r="M31" s="152">
        <v>5</v>
      </c>
      <c r="N31" s="152">
        <v>84.732826232910156</v>
      </c>
      <c r="O31" s="152">
        <v>6.106870174407959</v>
      </c>
      <c r="P31" s="152">
        <v>3.0534350872039795</v>
      </c>
      <c r="Q31" s="152">
        <v>1.5267175436019897</v>
      </c>
      <c r="R31" s="152">
        <v>4.5801525115966797</v>
      </c>
      <c r="S31" s="152">
        <v>18</v>
      </c>
      <c r="T31" s="152">
        <v>24</v>
      </c>
      <c r="U31" s="152">
        <v>32</v>
      </c>
      <c r="V31" s="152">
        <v>38</v>
      </c>
      <c r="W31" s="152">
        <v>24</v>
      </c>
      <c r="X31" s="152">
        <v>13.235294342041016</v>
      </c>
      <c r="Y31" s="152">
        <v>17.647058486938477</v>
      </c>
      <c r="Z31" s="152">
        <v>23.529411315917969</v>
      </c>
      <c r="AA31" s="152">
        <v>27.941177368164063</v>
      </c>
      <c r="AB31" s="152">
        <v>17.647058486938477</v>
      </c>
      <c r="AC31" s="152">
        <v>13</v>
      </c>
      <c r="AD31" s="152">
        <v>5</v>
      </c>
      <c r="AE31" s="152">
        <v>85</v>
      </c>
      <c r="AF31" s="152">
        <v>33</v>
      </c>
      <c r="AG31" s="152">
        <v>9.5588235855102539</v>
      </c>
      <c r="AH31" s="152">
        <v>3.6764705181121826</v>
      </c>
      <c r="AI31" s="152">
        <v>62.5</v>
      </c>
      <c r="AJ31" s="152">
        <v>24.264705657958984</v>
      </c>
      <c r="AK31" s="152">
        <v>23</v>
      </c>
      <c r="AL31" s="152">
        <v>4</v>
      </c>
      <c r="AM31" s="152">
        <v>9</v>
      </c>
      <c r="AN31" s="152">
        <v>9</v>
      </c>
      <c r="AO31" s="152">
        <v>64</v>
      </c>
      <c r="AP31" s="152">
        <v>27</v>
      </c>
      <c r="AQ31" s="152">
        <v>21.100917816162109</v>
      </c>
      <c r="AR31" s="152">
        <v>3.669724702835083</v>
      </c>
      <c r="AS31" s="152">
        <v>8.2568807601928711</v>
      </c>
      <c r="AT31" s="152">
        <v>8.2568807601928711</v>
      </c>
      <c r="AU31" s="152">
        <v>58.715595245361328</v>
      </c>
      <c r="AV31" s="152">
        <v>50</v>
      </c>
      <c r="AW31" s="152">
        <v>44</v>
      </c>
      <c r="AX31" s="152">
        <v>23</v>
      </c>
      <c r="AY31" s="152">
        <v>11</v>
      </c>
      <c r="AZ31" s="152">
        <v>3</v>
      </c>
      <c r="BA31" s="152">
        <v>5</v>
      </c>
      <c r="BB31" s="152">
        <v>38.167938232421875</v>
      </c>
      <c r="BC31" s="152">
        <v>33.587787628173828</v>
      </c>
      <c r="BD31" s="152">
        <v>17.5572509765625</v>
      </c>
      <c r="BE31" s="152">
        <v>8.396946907043457</v>
      </c>
      <c r="BF31" s="152">
        <v>2.2900762557983398</v>
      </c>
    </row>
    <row r="32" spans="1:58" x14ac:dyDescent="0.3">
      <c r="A32" s="153" t="s">
        <v>346</v>
      </c>
      <c r="B32" s="153" t="s">
        <v>345</v>
      </c>
      <c r="C32" s="154">
        <v>235</v>
      </c>
      <c r="D32" s="154">
        <v>15</v>
      </c>
      <c r="E32" s="154">
        <v>172</v>
      </c>
      <c r="F32" s="154">
        <v>94</v>
      </c>
      <c r="G32" s="154">
        <v>6</v>
      </c>
      <c r="H32" s="154">
        <v>364</v>
      </c>
      <c r="I32" s="154">
        <v>10</v>
      </c>
      <c r="J32" s="154">
        <v>11</v>
      </c>
      <c r="K32" s="154">
        <v>4</v>
      </c>
      <c r="L32" s="154">
        <v>13</v>
      </c>
      <c r="M32" s="154">
        <v>20</v>
      </c>
      <c r="N32" s="154">
        <v>90.547264099121094</v>
      </c>
      <c r="O32" s="154">
        <v>2.4875621795654297</v>
      </c>
      <c r="P32" s="154">
        <v>2.7363183498382568</v>
      </c>
      <c r="Q32" s="154">
        <v>0.99502485990524292</v>
      </c>
      <c r="R32" s="154">
        <v>3.2338309288024902</v>
      </c>
      <c r="S32" s="154">
        <v>110</v>
      </c>
      <c r="T32" s="154">
        <v>88</v>
      </c>
      <c r="U32" s="154">
        <v>99</v>
      </c>
      <c r="V32" s="154">
        <v>74</v>
      </c>
      <c r="W32" s="154">
        <v>51</v>
      </c>
      <c r="X32" s="154">
        <v>26.066350936889648</v>
      </c>
      <c r="Y32" s="154">
        <v>20.853080749511719</v>
      </c>
      <c r="Z32" s="154">
        <v>23.459714889526367</v>
      </c>
      <c r="AA32" s="154">
        <v>17.535545349121094</v>
      </c>
      <c r="AB32" s="154">
        <v>12.085308074951172</v>
      </c>
      <c r="AC32" s="154">
        <v>31</v>
      </c>
      <c r="AD32" s="154">
        <v>9</v>
      </c>
      <c r="AE32" s="154">
        <v>228</v>
      </c>
      <c r="AF32" s="154">
        <v>154</v>
      </c>
      <c r="AG32" s="154">
        <v>7.3459715843200684</v>
      </c>
      <c r="AH32" s="154">
        <v>2.1327013969421387</v>
      </c>
      <c r="AI32" s="154">
        <v>54.028434753417969</v>
      </c>
      <c r="AJ32" s="154">
        <v>36.492889404296875</v>
      </c>
      <c r="AK32" s="154">
        <v>42</v>
      </c>
      <c r="AL32" s="154">
        <v>31</v>
      </c>
      <c r="AM32" s="154">
        <v>43</v>
      </c>
      <c r="AN32" s="154">
        <v>40</v>
      </c>
      <c r="AO32" s="154">
        <v>196</v>
      </c>
      <c r="AP32" s="154">
        <v>70</v>
      </c>
      <c r="AQ32" s="154">
        <v>11.931818008422852</v>
      </c>
      <c r="AR32" s="154">
        <v>8.8068180084228516</v>
      </c>
      <c r="AS32" s="154">
        <v>12.215909004211426</v>
      </c>
      <c r="AT32" s="154">
        <v>11.363636016845703</v>
      </c>
      <c r="AU32" s="154">
        <v>55.681819915771484</v>
      </c>
      <c r="AV32" s="154">
        <v>54</v>
      </c>
      <c r="AW32" s="154">
        <v>133</v>
      </c>
      <c r="AX32" s="154">
        <v>84</v>
      </c>
      <c r="AY32" s="154">
        <v>81</v>
      </c>
      <c r="AZ32" s="154">
        <v>26</v>
      </c>
      <c r="BA32" s="154">
        <v>44</v>
      </c>
      <c r="BB32" s="154">
        <v>14.285714149475098</v>
      </c>
      <c r="BC32" s="154">
        <v>35.185184478759766</v>
      </c>
      <c r="BD32" s="154">
        <v>22.222221374511719</v>
      </c>
      <c r="BE32" s="154">
        <v>21.428571701049805</v>
      </c>
      <c r="BF32" s="154">
        <v>6.8783068656921387</v>
      </c>
    </row>
    <row r="33" spans="1:58" x14ac:dyDescent="0.3">
      <c r="A33" s="151" t="s">
        <v>352</v>
      </c>
      <c r="B33" s="151" t="s">
        <v>351</v>
      </c>
      <c r="C33" s="152">
        <v>236</v>
      </c>
      <c r="D33" s="152">
        <v>37</v>
      </c>
      <c r="E33" s="152">
        <v>101</v>
      </c>
      <c r="F33" s="152">
        <v>86.446884155273438</v>
      </c>
      <c r="G33" s="152">
        <v>13.55311393737793</v>
      </c>
      <c r="H33" s="152">
        <v>311</v>
      </c>
      <c r="I33" s="152">
        <v>12</v>
      </c>
      <c r="J33" s="152">
        <v>26</v>
      </c>
      <c r="K33" s="152">
        <v>1</v>
      </c>
      <c r="L33" s="152">
        <v>9</v>
      </c>
      <c r="M33" s="152">
        <v>15</v>
      </c>
      <c r="N33" s="152">
        <v>86.629524230957031</v>
      </c>
      <c r="O33" s="152">
        <v>3.342618465423584</v>
      </c>
      <c r="P33" s="152">
        <v>7.2423396110534668</v>
      </c>
      <c r="Q33" s="152">
        <v>0.27855151891708374</v>
      </c>
      <c r="R33" s="152">
        <v>2.5069637298583984</v>
      </c>
      <c r="S33" s="152">
        <v>18</v>
      </c>
      <c r="T33" s="152">
        <v>45</v>
      </c>
      <c r="U33" s="152">
        <v>71</v>
      </c>
      <c r="V33" s="152">
        <v>73</v>
      </c>
      <c r="W33" s="152">
        <v>167</v>
      </c>
      <c r="X33" s="152">
        <v>4.8128342628479004</v>
      </c>
      <c r="Y33" s="152">
        <v>12.032085418701172</v>
      </c>
      <c r="Z33" s="152">
        <v>18.983957290649414</v>
      </c>
      <c r="AA33" s="152">
        <v>19.518716812133789</v>
      </c>
      <c r="AB33" s="152">
        <v>44.65240478515625</v>
      </c>
      <c r="AC33" s="152">
        <v>25</v>
      </c>
      <c r="AD33" s="152">
        <v>4</v>
      </c>
      <c r="AE33" s="152">
        <v>205</v>
      </c>
      <c r="AF33" s="152">
        <v>140</v>
      </c>
      <c r="AG33" s="152">
        <v>6.6844921112060547</v>
      </c>
      <c r="AH33" s="152">
        <v>1.0695186853408813</v>
      </c>
      <c r="AI33" s="152">
        <v>54.812835693359375</v>
      </c>
      <c r="AJ33" s="152">
        <v>37.433155059814453</v>
      </c>
      <c r="AK33" s="152">
        <v>67</v>
      </c>
      <c r="AL33" s="152">
        <v>25</v>
      </c>
      <c r="AM33" s="152">
        <v>51</v>
      </c>
      <c r="AN33" s="152">
        <v>30</v>
      </c>
      <c r="AO33" s="152">
        <v>166</v>
      </c>
      <c r="AP33" s="152">
        <v>35</v>
      </c>
      <c r="AQ33" s="152">
        <v>19.764011383056641</v>
      </c>
      <c r="AR33" s="152">
        <v>7.374631404876709</v>
      </c>
      <c r="AS33" s="152">
        <v>15.044247627258301</v>
      </c>
      <c r="AT33" s="152">
        <v>8.8495578765869141</v>
      </c>
      <c r="AU33" s="152">
        <v>48.967552185058594</v>
      </c>
      <c r="AV33" s="152">
        <v>73</v>
      </c>
      <c r="AW33" s="152">
        <v>112</v>
      </c>
      <c r="AX33" s="152">
        <v>75</v>
      </c>
      <c r="AY33" s="152">
        <v>87</v>
      </c>
      <c r="AZ33" s="152">
        <v>11</v>
      </c>
      <c r="BA33" s="152">
        <v>16</v>
      </c>
      <c r="BB33" s="152">
        <v>20.391061782836914</v>
      </c>
      <c r="BC33" s="152">
        <v>31.284915924072266</v>
      </c>
      <c r="BD33" s="152">
        <v>20.94972038269043</v>
      </c>
      <c r="BE33" s="152">
        <v>24.301675796508789</v>
      </c>
      <c r="BF33" s="152">
        <v>3.0726256370544434</v>
      </c>
    </row>
    <row r="34" spans="1:58" x14ac:dyDescent="0.3">
      <c r="A34" s="153" t="s">
        <v>446</v>
      </c>
      <c r="B34" s="153" t="s">
        <v>445</v>
      </c>
      <c r="C34" s="154">
        <v>193</v>
      </c>
      <c r="D34" s="154">
        <v>21</v>
      </c>
      <c r="E34" s="154">
        <v>65</v>
      </c>
      <c r="F34" s="154">
        <v>90.186912536621094</v>
      </c>
      <c r="G34" s="154">
        <v>9.8130836486816406</v>
      </c>
      <c r="H34" s="154">
        <v>249</v>
      </c>
      <c r="I34" s="154">
        <v>4</v>
      </c>
      <c r="J34" s="154">
        <v>5</v>
      </c>
      <c r="K34" s="154">
        <v>3</v>
      </c>
      <c r="L34" s="154">
        <v>1</v>
      </c>
      <c r="M34" s="154">
        <v>17</v>
      </c>
      <c r="N34" s="154">
        <v>95.038169860839844</v>
      </c>
      <c r="O34" s="154">
        <v>1.5267175436019897</v>
      </c>
      <c r="P34" s="154">
        <v>1.9083969593048096</v>
      </c>
      <c r="Q34" s="154">
        <v>1.1450381278991699</v>
      </c>
      <c r="R34" s="154">
        <v>0.38167938590049744</v>
      </c>
      <c r="S34" s="154">
        <v>40</v>
      </c>
      <c r="T34" s="154">
        <v>130</v>
      </c>
      <c r="U34" s="154">
        <v>67</v>
      </c>
      <c r="V34" s="154">
        <v>41</v>
      </c>
      <c r="W34" s="154">
        <v>1</v>
      </c>
      <c r="X34" s="154">
        <v>14.336917877197266</v>
      </c>
      <c r="Y34" s="154">
        <v>46.594982147216797</v>
      </c>
      <c r="Z34" s="154">
        <v>24.014337539672852</v>
      </c>
      <c r="AA34" s="154">
        <v>14.695340156555176</v>
      </c>
      <c r="AB34" s="154">
        <v>0.35842293500900269</v>
      </c>
      <c r="AC34" s="154">
        <v>25</v>
      </c>
      <c r="AD34" s="154">
        <v>3</v>
      </c>
      <c r="AE34" s="154">
        <v>140</v>
      </c>
      <c r="AF34" s="154">
        <v>111</v>
      </c>
      <c r="AG34" s="154">
        <v>8.9605731964111328</v>
      </c>
      <c r="AH34" s="154">
        <v>1.0752688646316528</v>
      </c>
      <c r="AI34" s="154">
        <v>50.179210662841797</v>
      </c>
      <c r="AJ34" s="154">
        <v>39.784946441650391</v>
      </c>
      <c r="AK34" s="154">
        <v>40</v>
      </c>
      <c r="AL34" s="154">
        <v>20</v>
      </c>
      <c r="AM34" s="154">
        <v>24</v>
      </c>
      <c r="AN34" s="154">
        <v>37</v>
      </c>
      <c r="AO34" s="154">
        <v>149</v>
      </c>
      <c r="AP34" s="154">
        <v>9</v>
      </c>
      <c r="AQ34" s="154">
        <v>14.814814567565918</v>
      </c>
      <c r="AR34" s="154">
        <v>7.407407283782959</v>
      </c>
      <c r="AS34" s="154">
        <v>8.8888893127441406</v>
      </c>
      <c r="AT34" s="154">
        <v>13.703703880310059</v>
      </c>
      <c r="AU34" s="154">
        <v>55.185184478759766</v>
      </c>
      <c r="AV34" s="154">
        <v>54</v>
      </c>
      <c r="AW34" s="154">
        <v>92</v>
      </c>
      <c r="AX34" s="154">
        <v>39</v>
      </c>
      <c r="AY34" s="154">
        <v>48</v>
      </c>
      <c r="AZ34" s="154">
        <v>38</v>
      </c>
      <c r="BA34" s="154">
        <v>8</v>
      </c>
      <c r="BB34" s="154">
        <v>19.926198959350586</v>
      </c>
      <c r="BC34" s="154">
        <v>33.948341369628906</v>
      </c>
      <c r="BD34" s="154">
        <v>14.391143798828125</v>
      </c>
      <c r="BE34" s="154">
        <v>17.712177276611328</v>
      </c>
      <c r="BF34" s="154">
        <v>14.022140502929688</v>
      </c>
    </row>
    <row r="35" spans="1:58" x14ac:dyDescent="0.3">
      <c r="A35" s="151" t="s">
        <v>396</v>
      </c>
      <c r="B35" s="151" t="s">
        <v>395</v>
      </c>
      <c r="C35" s="152">
        <v>122</v>
      </c>
      <c r="D35" s="152">
        <v>2</v>
      </c>
      <c r="E35" s="152">
        <v>235</v>
      </c>
      <c r="F35" s="152">
        <v>98.387100219726563</v>
      </c>
      <c r="G35" s="152">
        <v>1.6129032373428345</v>
      </c>
      <c r="H35" s="152">
        <v>334</v>
      </c>
      <c r="I35" s="152">
        <v>8</v>
      </c>
      <c r="J35" s="152">
        <v>3</v>
      </c>
      <c r="K35" s="152">
        <v>5</v>
      </c>
      <c r="L35" s="152">
        <v>5</v>
      </c>
      <c r="M35" s="152">
        <v>4</v>
      </c>
      <c r="N35" s="152">
        <v>94.084510803222656</v>
      </c>
      <c r="O35" s="152">
        <v>2.253521203994751</v>
      </c>
      <c r="P35" s="152">
        <v>0.84507042169570923</v>
      </c>
      <c r="Q35" s="152">
        <v>1.408450722694397</v>
      </c>
      <c r="R35" s="152">
        <v>1.408450722694397</v>
      </c>
      <c r="S35" s="152">
        <v>256</v>
      </c>
      <c r="T35" s="152">
        <v>41</v>
      </c>
      <c r="U35" s="152">
        <v>26</v>
      </c>
      <c r="V35" s="152">
        <v>30</v>
      </c>
      <c r="W35" s="152">
        <v>6</v>
      </c>
      <c r="X35" s="152">
        <v>71.309188842773438</v>
      </c>
      <c r="Y35" s="152">
        <v>11.420613288879395</v>
      </c>
      <c r="Z35" s="152">
        <v>7.2423396110534668</v>
      </c>
      <c r="AA35" s="152">
        <v>8.3565464019775391</v>
      </c>
      <c r="AB35" s="152">
        <v>1.671309232711792</v>
      </c>
      <c r="AC35" s="152">
        <v>32</v>
      </c>
      <c r="AD35" s="152">
        <v>1</v>
      </c>
      <c r="AE35" s="152">
        <v>200</v>
      </c>
      <c r="AF35" s="152">
        <v>126</v>
      </c>
      <c r="AG35" s="152">
        <v>8.9136486053466797</v>
      </c>
      <c r="AH35" s="152">
        <v>0.27855151891708374</v>
      </c>
      <c r="AI35" s="152">
        <v>55.710308074951172</v>
      </c>
      <c r="AJ35" s="152">
        <v>35.097492218017578</v>
      </c>
      <c r="AK35" s="152">
        <v>58</v>
      </c>
      <c r="AL35" s="152">
        <v>16</v>
      </c>
      <c r="AM35" s="152">
        <v>30</v>
      </c>
      <c r="AN35" s="152">
        <v>23</v>
      </c>
      <c r="AO35" s="152">
        <v>118</v>
      </c>
      <c r="AP35" s="152">
        <v>114</v>
      </c>
      <c r="AQ35" s="152">
        <v>23.673469543457031</v>
      </c>
      <c r="AR35" s="152">
        <v>6.5306124687194824</v>
      </c>
      <c r="AS35" s="152">
        <v>12.244897842407227</v>
      </c>
      <c r="AT35" s="152">
        <v>9.3877553939819336</v>
      </c>
      <c r="AU35" s="152">
        <v>48.163265228271484</v>
      </c>
      <c r="AV35" s="152">
        <v>74</v>
      </c>
      <c r="AW35" s="152">
        <v>96</v>
      </c>
      <c r="AX35" s="152">
        <v>63</v>
      </c>
      <c r="AY35" s="152">
        <v>35</v>
      </c>
      <c r="AZ35" s="152">
        <v>10</v>
      </c>
      <c r="BA35" s="152">
        <v>81</v>
      </c>
      <c r="BB35" s="152">
        <v>26.618705749511719</v>
      </c>
      <c r="BC35" s="152">
        <v>34.532375335693359</v>
      </c>
      <c r="BD35" s="152">
        <v>22.661870956420898</v>
      </c>
      <c r="BE35" s="152">
        <v>12.589927673339844</v>
      </c>
      <c r="BF35" s="152">
        <v>3.5971221923828125</v>
      </c>
    </row>
    <row r="36" spans="1:58" x14ac:dyDescent="0.3">
      <c r="A36" s="153" t="s">
        <v>490</v>
      </c>
      <c r="B36" s="153" t="s">
        <v>489</v>
      </c>
      <c r="C36" s="154">
        <v>4</v>
      </c>
      <c r="D36" s="154">
        <v>2</v>
      </c>
      <c r="E36" s="154">
        <v>20</v>
      </c>
      <c r="F36" s="154">
        <v>66.666664123535156</v>
      </c>
      <c r="G36" s="154">
        <v>33.333332061767578</v>
      </c>
      <c r="H36" s="154">
        <v>24</v>
      </c>
      <c r="I36" s="154"/>
      <c r="J36" s="154"/>
      <c r="K36" s="154"/>
      <c r="L36" s="154"/>
      <c r="M36" s="154">
        <v>2</v>
      </c>
      <c r="N36" s="154">
        <v>100</v>
      </c>
      <c r="O36" s="154"/>
      <c r="P36" s="154"/>
      <c r="Q36" s="154"/>
      <c r="R36" s="154"/>
      <c r="S36" s="154">
        <v>12</v>
      </c>
      <c r="T36" s="154">
        <v>2</v>
      </c>
      <c r="U36" s="154">
        <v>7</v>
      </c>
      <c r="V36" s="154">
        <v>2</v>
      </c>
      <c r="W36" s="154">
        <v>3</v>
      </c>
      <c r="X36" s="154">
        <v>46.153846740722656</v>
      </c>
      <c r="Y36" s="154">
        <v>7.6923074722290039</v>
      </c>
      <c r="Z36" s="154">
        <v>26.923076629638672</v>
      </c>
      <c r="AA36" s="154">
        <v>7.6923074722290039</v>
      </c>
      <c r="AB36" s="154">
        <v>11.538461685180664</v>
      </c>
      <c r="AC36" s="154">
        <v>6</v>
      </c>
      <c r="AD36" s="154"/>
      <c r="AE36" s="154">
        <v>16</v>
      </c>
      <c r="AF36" s="154">
        <v>4</v>
      </c>
      <c r="AG36" s="154">
        <v>23.076923370361328</v>
      </c>
      <c r="AH36" s="154"/>
      <c r="AI36" s="154">
        <v>61.538459777832031</v>
      </c>
      <c r="AJ36" s="154">
        <v>15.384614944458008</v>
      </c>
      <c r="AK36" s="154">
        <v>2</v>
      </c>
      <c r="AL36" s="154"/>
      <c r="AM36" s="154">
        <v>2</v>
      </c>
      <c r="AN36" s="154"/>
      <c r="AO36" s="154">
        <v>5</v>
      </c>
      <c r="AP36" s="154">
        <v>17</v>
      </c>
      <c r="AQ36" s="154">
        <v>22.222221374511719</v>
      </c>
      <c r="AR36" s="154"/>
      <c r="AS36" s="154">
        <v>22.222221374511719</v>
      </c>
      <c r="AT36" s="154"/>
      <c r="AU36" s="154">
        <v>55.555557250976563</v>
      </c>
      <c r="AV36" s="154">
        <v>6</v>
      </c>
      <c r="AW36" s="154">
        <v>5</v>
      </c>
      <c r="AX36" s="154"/>
      <c r="AY36" s="154">
        <v>2</v>
      </c>
      <c r="AZ36" s="154"/>
      <c r="BA36" s="154">
        <v>13</v>
      </c>
      <c r="BB36" s="154">
        <v>46.153846740722656</v>
      </c>
      <c r="BC36" s="154">
        <v>38.461540222167969</v>
      </c>
      <c r="BD36" s="154"/>
      <c r="BE36" s="154">
        <v>15.384614944458008</v>
      </c>
      <c r="BF36" s="154"/>
    </row>
    <row r="37" spans="1:58" x14ac:dyDescent="0.3">
      <c r="A37" s="151" t="s">
        <v>272</v>
      </c>
      <c r="B37" s="151" t="s">
        <v>271</v>
      </c>
      <c r="C37" s="152">
        <v>155</v>
      </c>
      <c r="D37" s="152">
        <v>11</v>
      </c>
      <c r="E37" s="152">
        <v>94</v>
      </c>
      <c r="F37" s="152">
        <v>93.373497009277344</v>
      </c>
      <c r="G37" s="152">
        <v>6.6265058517456055</v>
      </c>
      <c r="H37" s="152">
        <v>221</v>
      </c>
      <c r="I37" s="152">
        <v>3</v>
      </c>
      <c r="J37" s="152">
        <v>17</v>
      </c>
      <c r="K37" s="152">
        <v>6</v>
      </c>
      <c r="L37" s="152">
        <v>10</v>
      </c>
      <c r="M37" s="152">
        <v>3</v>
      </c>
      <c r="N37" s="152">
        <v>85.992218017578125</v>
      </c>
      <c r="O37" s="152">
        <v>1.1673151254653931</v>
      </c>
      <c r="P37" s="152">
        <v>6.6147861480712891</v>
      </c>
      <c r="Q37" s="152">
        <v>2.3346302509307861</v>
      </c>
      <c r="R37" s="152">
        <v>3.8910505771636963</v>
      </c>
      <c r="S37" s="152">
        <v>56</v>
      </c>
      <c r="T37" s="152">
        <v>68</v>
      </c>
      <c r="U37" s="152">
        <v>71</v>
      </c>
      <c r="V37" s="152">
        <v>44</v>
      </c>
      <c r="W37" s="152">
        <v>21</v>
      </c>
      <c r="X37" s="152">
        <v>21.538461685180664</v>
      </c>
      <c r="Y37" s="152">
        <v>26.153846740722656</v>
      </c>
      <c r="Z37" s="152">
        <v>27.30769157409668</v>
      </c>
      <c r="AA37" s="152">
        <v>16.923076629638672</v>
      </c>
      <c r="AB37" s="152">
        <v>8.0769233703613281</v>
      </c>
      <c r="AC37" s="152">
        <v>18</v>
      </c>
      <c r="AD37" s="152">
        <v>5</v>
      </c>
      <c r="AE37" s="152">
        <v>160</v>
      </c>
      <c r="AF37" s="152">
        <v>77</v>
      </c>
      <c r="AG37" s="152">
        <v>6.9230771064758301</v>
      </c>
      <c r="AH37" s="152">
        <v>1.923076868057251</v>
      </c>
      <c r="AI37" s="152">
        <v>61.538459777832031</v>
      </c>
      <c r="AJ37" s="152">
        <v>29.615385055541992</v>
      </c>
      <c r="AK37" s="152">
        <v>27</v>
      </c>
      <c r="AL37" s="152">
        <v>14</v>
      </c>
      <c r="AM37" s="152">
        <v>25</v>
      </c>
      <c r="AN37" s="152">
        <v>31</v>
      </c>
      <c r="AO37" s="152">
        <v>137</v>
      </c>
      <c r="AP37" s="152">
        <v>26</v>
      </c>
      <c r="AQ37" s="152">
        <v>11.538461685180664</v>
      </c>
      <c r="AR37" s="152">
        <v>5.9829058647155762</v>
      </c>
      <c r="AS37" s="152">
        <v>10.683760643005371</v>
      </c>
      <c r="AT37" s="152">
        <v>13.247862815856934</v>
      </c>
      <c r="AU37" s="152">
        <v>58.547008514404297</v>
      </c>
      <c r="AV37" s="152">
        <v>52</v>
      </c>
      <c r="AW37" s="152">
        <v>60</v>
      </c>
      <c r="AX37" s="152">
        <v>39</v>
      </c>
      <c r="AY37" s="152">
        <v>40</v>
      </c>
      <c r="AZ37" s="152">
        <v>13</v>
      </c>
      <c r="BA37" s="152">
        <v>56</v>
      </c>
      <c r="BB37" s="152">
        <v>25.490196228027344</v>
      </c>
      <c r="BC37" s="152">
        <v>29.411764144897461</v>
      </c>
      <c r="BD37" s="152">
        <v>19.117647171020508</v>
      </c>
      <c r="BE37" s="152">
        <v>19.607843399047852</v>
      </c>
      <c r="BF37" s="152">
        <v>6.3725490570068359</v>
      </c>
    </row>
    <row r="38" spans="1:58" x14ac:dyDescent="0.3">
      <c r="A38" s="153" t="s">
        <v>276</v>
      </c>
      <c r="B38" s="153" t="s">
        <v>15</v>
      </c>
      <c r="C38" s="154">
        <v>19</v>
      </c>
      <c r="D38" s="154"/>
      <c r="E38" s="154">
        <v>189</v>
      </c>
      <c r="F38" s="154"/>
      <c r="G38" s="154"/>
      <c r="H38" s="154">
        <v>199</v>
      </c>
      <c r="I38" s="154">
        <v>3</v>
      </c>
      <c r="J38" s="154">
        <v>1</v>
      </c>
      <c r="K38" s="154"/>
      <c r="L38" s="154">
        <v>1</v>
      </c>
      <c r="M38" s="154">
        <v>4</v>
      </c>
      <c r="N38" s="154">
        <v>97.549018859863281</v>
      </c>
      <c r="O38" s="154">
        <v>1.470588207244873</v>
      </c>
      <c r="P38" s="154">
        <v>0.49019607901573181</v>
      </c>
      <c r="Q38" s="154"/>
      <c r="R38" s="154">
        <v>0.49019607901573181</v>
      </c>
      <c r="S38" s="154">
        <v>91</v>
      </c>
      <c r="T38" s="154">
        <v>47</v>
      </c>
      <c r="U38" s="154">
        <v>38</v>
      </c>
      <c r="V38" s="154">
        <v>19</v>
      </c>
      <c r="W38" s="154">
        <v>13</v>
      </c>
      <c r="X38" s="154">
        <v>43.75</v>
      </c>
      <c r="Y38" s="154">
        <v>22.596153259277344</v>
      </c>
      <c r="Z38" s="154">
        <v>18.269229888916016</v>
      </c>
      <c r="AA38" s="154">
        <v>9.1346149444580078</v>
      </c>
      <c r="AB38" s="154">
        <v>6.25</v>
      </c>
      <c r="AC38" s="154">
        <v>29</v>
      </c>
      <c r="AD38" s="154"/>
      <c r="AE38" s="154">
        <v>107</v>
      </c>
      <c r="AF38" s="154">
        <v>72</v>
      </c>
      <c r="AG38" s="154">
        <v>13.942307472229004</v>
      </c>
      <c r="AH38" s="154"/>
      <c r="AI38" s="154">
        <v>51.442306518554688</v>
      </c>
      <c r="AJ38" s="154">
        <v>34.615383148193359</v>
      </c>
      <c r="AK38" s="154">
        <v>30</v>
      </c>
      <c r="AL38" s="154">
        <v>10</v>
      </c>
      <c r="AM38" s="154">
        <v>19</v>
      </c>
      <c r="AN38" s="154">
        <v>25</v>
      </c>
      <c r="AO38" s="154">
        <v>117</v>
      </c>
      <c r="AP38" s="154">
        <v>7</v>
      </c>
      <c r="AQ38" s="154">
        <v>14.925373077392578</v>
      </c>
      <c r="AR38" s="154">
        <v>4.9751243591308594</v>
      </c>
      <c r="AS38" s="154">
        <v>9.4527359008789063</v>
      </c>
      <c r="AT38" s="154">
        <v>12.437810897827148</v>
      </c>
      <c r="AU38" s="154">
        <v>58.208953857421875</v>
      </c>
      <c r="AV38" s="154">
        <v>35</v>
      </c>
      <c r="AW38" s="154">
        <v>66</v>
      </c>
      <c r="AX38" s="154">
        <v>56</v>
      </c>
      <c r="AY38" s="154">
        <v>35</v>
      </c>
      <c r="AZ38" s="154">
        <v>8</v>
      </c>
      <c r="BA38" s="154">
        <v>8</v>
      </c>
      <c r="BB38" s="154">
        <v>17.5</v>
      </c>
      <c r="BC38" s="154">
        <v>33</v>
      </c>
      <c r="BD38" s="154">
        <v>28</v>
      </c>
      <c r="BE38" s="154">
        <v>17.5</v>
      </c>
      <c r="BF38" s="154">
        <v>4</v>
      </c>
    </row>
    <row r="39" spans="1:58" x14ac:dyDescent="0.3">
      <c r="A39" s="151" t="s">
        <v>502</v>
      </c>
      <c r="B39" s="151" t="s">
        <v>501</v>
      </c>
      <c r="C39" s="152">
        <v>43</v>
      </c>
      <c r="D39" s="152">
        <v>4</v>
      </c>
      <c r="E39" s="152">
        <v>137</v>
      </c>
      <c r="F39" s="152">
        <v>91.489364624023438</v>
      </c>
      <c r="G39" s="152">
        <v>8.5106382369995117</v>
      </c>
      <c r="H39" s="152">
        <v>174</v>
      </c>
      <c r="I39" s="152">
        <v>3</v>
      </c>
      <c r="J39" s="152"/>
      <c r="K39" s="152">
        <v>2</v>
      </c>
      <c r="L39" s="152">
        <v>3</v>
      </c>
      <c r="M39" s="152">
        <v>2</v>
      </c>
      <c r="N39" s="152">
        <v>95.604393005371094</v>
      </c>
      <c r="O39" s="152">
        <v>1.6483516693115234</v>
      </c>
      <c r="P39" s="152"/>
      <c r="Q39" s="152">
        <v>1.0989011526107788</v>
      </c>
      <c r="R39" s="152">
        <v>1.6483516693115234</v>
      </c>
      <c r="S39" s="152">
        <v>59</v>
      </c>
      <c r="T39" s="152">
        <v>28</v>
      </c>
      <c r="U39" s="152">
        <v>32</v>
      </c>
      <c r="V39" s="152">
        <v>60</v>
      </c>
      <c r="W39" s="152">
        <v>5</v>
      </c>
      <c r="X39" s="152">
        <v>32.065216064453125</v>
      </c>
      <c r="Y39" s="152">
        <v>15.217391014099121</v>
      </c>
      <c r="Z39" s="152">
        <v>17.391304016113281</v>
      </c>
      <c r="AA39" s="152">
        <v>32.608695983886719</v>
      </c>
      <c r="AB39" s="152">
        <v>2.7173912525177002</v>
      </c>
      <c r="AC39" s="152">
        <v>17</v>
      </c>
      <c r="AD39" s="152">
        <v>2</v>
      </c>
      <c r="AE39" s="152">
        <v>98</v>
      </c>
      <c r="AF39" s="152">
        <v>67</v>
      </c>
      <c r="AG39" s="152">
        <v>9.2391300201416016</v>
      </c>
      <c r="AH39" s="152">
        <v>1.0869565010070801</v>
      </c>
      <c r="AI39" s="152">
        <v>53.260868072509766</v>
      </c>
      <c r="AJ39" s="152">
        <v>36.413043975830078</v>
      </c>
      <c r="AK39" s="152">
        <v>48</v>
      </c>
      <c r="AL39" s="152">
        <v>20</v>
      </c>
      <c r="AM39" s="152">
        <v>22</v>
      </c>
      <c r="AN39" s="152">
        <v>12</v>
      </c>
      <c r="AO39" s="152">
        <v>73</v>
      </c>
      <c r="AP39" s="152">
        <v>9</v>
      </c>
      <c r="AQ39" s="152">
        <v>27.428571701049805</v>
      </c>
      <c r="AR39" s="152">
        <v>11.428571701049805</v>
      </c>
      <c r="AS39" s="152">
        <v>12.571428298950195</v>
      </c>
      <c r="AT39" s="152">
        <v>6.8571429252624512</v>
      </c>
      <c r="AU39" s="152">
        <v>41.714286804199219</v>
      </c>
      <c r="AV39" s="152">
        <v>17</v>
      </c>
      <c r="AW39" s="152">
        <v>70</v>
      </c>
      <c r="AX39" s="152">
        <v>33</v>
      </c>
      <c r="AY39" s="152">
        <v>42</v>
      </c>
      <c r="AZ39" s="152">
        <v>11</v>
      </c>
      <c r="BA39" s="152">
        <v>11</v>
      </c>
      <c r="BB39" s="152">
        <v>9.8265895843505859</v>
      </c>
      <c r="BC39" s="152">
        <v>40.462429046630859</v>
      </c>
      <c r="BD39" s="152">
        <v>19.075143814086914</v>
      </c>
      <c r="BE39" s="152">
        <v>24.277456283569336</v>
      </c>
      <c r="BF39" s="152">
        <v>6.3583812713623047</v>
      </c>
    </row>
    <row r="40" spans="1:58" x14ac:dyDescent="0.3">
      <c r="A40" s="153" t="s">
        <v>314</v>
      </c>
      <c r="B40" s="153" t="s">
        <v>313</v>
      </c>
      <c r="C40" s="154">
        <v>136</v>
      </c>
      <c r="D40" s="154">
        <v>13</v>
      </c>
      <c r="E40" s="154">
        <v>88</v>
      </c>
      <c r="F40" s="154">
        <v>91.275169372558594</v>
      </c>
      <c r="G40" s="154">
        <v>8.7248325347900391</v>
      </c>
      <c r="H40" s="154">
        <v>232</v>
      </c>
      <c r="I40" s="154">
        <v>1</v>
      </c>
      <c r="J40" s="154"/>
      <c r="K40" s="154">
        <v>1</v>
      </c>
      <c r="L40" s="154">
        <v>1</v>
      </c>
      <c r="M40" s="154">
        <v>2</v>
      </c>
      <c r="N40" s="154">
        <v>98.723403930664063</v>
      </c>
      <c r="O40" s="154">
        <v>0.42553192377090454</v>
      </c>
      <c r="P40" s="154"/>
      <c r="Q40" s="154">
        <v>0.42553192377090454</v>
      </c>
      <c r="R40" s="154">
        <v>0.42553192377090454</v>
      </c>
      <c r="S40" s="154">
        <v>63</v>
      </c>
      <c r="T40" s="154">
        <v>62</v>
      </c>
      <c r="U40" s="154">
        <v>53</v>
      </c>
      <c r="V40" s="154">
        <v>28</v>
      </c>
      <c r="W40" s="154">
        <v>31</v>
      </c>
      <c r="X40" s="154">
        <v>26.582279205322266</v>
      </c>
      <c r="Y40" s="154">
        <v>26.160337448120117</v>
      </c>
      <c r="Z40" s="154">
        <v>22.362869262695313</v>
      </c>
      <c r="AA40" s="154">
        <v>11.814346313476563</v>
      </c>
      <c r="AB40" s="154">
        <v>13.080168724060059</v>
      </c>
      <c r="AC40" s="154">
        <v>27</v>
      </c>
      <c r="AD40" s="154">
        <v>1</v>
      </c>
      <c r="AE40" s="154">
        <v>126</v>
      </c>
      <c r="AF40" s="154">
        <v>83</v>
      </c>
      <c r="AG40" s="154">
        <v>11.39240550994873</v>
      </c>
      <c r="AH40" s="154">
        <v>0.42194092273712158</v>
      </c>
      <c r="AI40" s="154">
        <v>53.164558410644531</v>
      </c>
      <c r="AJ40" s="154">
        <v>35.021095275878906</v>
      </c>
      <c r="AK40" s="154">
        <v>47</v>
      </c>
      <c r="AL40" s="154">
        <v>17</v>
      </c>
      <c r="AM40" s="154">
        <v>32</v>
      </c>
      <c r="AN40" s="154">
        <v>23</v>
      </c>
      <c r="AO40" s="154">
        <v>116</v>
      </c>
      <c r="AP40" s="154">
        <v>2</v>
      </c>
      <c r="AQ40" s="154">
        <v>20</v>
      </c>
      <c r="AR40" s="154">
        <v>7.2340426445007324</v>
      </c>
      <c r="AS40" s="154">
        <v>13.617021560668945</v>
      </c>
      <c r="AT40" s="154">
        <v>9.7872343063354492</v>
      </c>
      <c r="AU40" s="154">
        <v>49.361701965332031</v>
      </c>
      <c r="AV40" s="154">
        <v>51</v>
      </c>
      <c r="AW40" s="154">
        <v>77</v>
      </c>
      <c r="AX40" s="154">
        <v>28</v>
      </c>
      <c r="AY40" s="154">
        <v>37</v>
      </c>
      <c r="AZ40" s="154">
        <v>8</v>
      </c>
      <c r="BA40" s="154">
        <v>36</v>
      </c>
      <c r="BB40" s="154">
        <v>25.373134613037109</v>
      </c>
      <c r="BC40" s="154">
        <v>38.308456420898438</v>
      </c>
      <c r="BD40" s="154">
        <v>13.93034839630127</v>
      </c>
      <c r="BE40" s="154">
        <v>18.407960891723633</v>
      </c>
      <c r="BF40" s="154">
        <v>3.9800994396209717</v>
      </c>
    </row>
    <row r="41" spans="1:58" x14ac:dyDescent="0.3">
      <c r="A41" s="151" t="s">
        <v>437</v>
      </c>
      <c r="B41" s="151" t="s">
        <v>436</v>
      </c>
      <c r="C41" s="152">
        <v>134</v>
      </c>
      <c r="D41" s="152">
        <v>28</v>
      </c>
      <c r="E41" s="152">
        <v>106</v>
      </c>
      <c r="F41" s="152">
        <v>82.716049194335938</v>
      </c>
      <c r="G41" s="152">
        <v>17.283950805664063</v>
      </c>
      <c r="H41" s="152">
        <v>257</v>
      </c>
      <c r="I41" s="152">
        <v>3</v>
      </c>
      <c r="J41" s="152">
        <v>5</v>
      </c>
      <c r="K41" s="152">
        <v>1</v>
      </c>
      <c r="L41" s="152"/>
      <c r="M41" s="152">
        <v>2</v>
      </c>
      <c r="N41" s="152">
        <v>96.616539001464844</v>
      </c>
      <c r="O41" s="152">
        <v>1.1278195381164551</v>
      </c>
      <c r="P41" s="152">
        <v>1.8796992301940918</v>
      </c>
      <c r="Q41" s="152">
        <v>0.37593984603881836</v>
      </c>
      <c r="R41" s="152"/>
      <c r="S41" s="152">
        <v>18</v>
      </c>
      <c r="T41" s="152">
        <v>36</v>
      </c>
      <c r="U41" s="152">
        <v>77</v>
      </c>
      <c r="V41" s="152">
        <v>70</v>
      </c>
      <c r="W41" s="152">
        <v>67</v>
      </c>
      <c r="X41" s="152">
        <v>6.7164177894592285</v>
      </c>
      <c r="Y41" s="152">
        <v>13.432835578918457</v>
      </c>
      <c r="Z41" s="152">
        <v>28.731344223022461</v>
      </c>
      <c r="AA41" s="152">
        <v>26.119403839111328</v>
      </c>
      <c r="AB41" s="152">
        <v>25</v>
      </c>
      <c r="AC41" s="152">
        <v>9</v>
      </c>
      <c r="AD41" s="152">
        <v>5</v>
      </c>
      <c r="AE41" s="152">
        <v>160</v>
      </c>
      <c r="AF41" s="152">
        <v>94</v>
      </c>
      <c r="AG41" s="152">
        <v>3.3582088947296143</v>
      </c>
      <c r="AH41" s="152">
        <v>1.8656716346740723</v>
      </c>
      <c r="AI41" s="152">
        <v>59.701492309570313</v>
      </c>
      <c r="AJ41" s="152">
        <v>35.074626922607422</v>
      </c>
      <c r="AK41" s="152">
        <v>55</v>
      </c>
      <c r="AL41" s="152">
        <v>22</v>
      </c>
      <c r="AM41" s="152">
        <v>33</v>
      </c>
      <c r="AN41" s="152">
        <v>28</v>
      </c>
      <c r="AO41" s="152">
        <v>59</v>
      </c>
      <c r="AP41" s="152">
        <v>71</v>
      </c>
      <c r="AQ41" s="152">
        <v>27.918781280517578</v>
      </c>
      <c r="AR41" s="152">
        <v>11.167512893676758</v>
      </c>
      <c r="AS41" s="152">
        <v>16.75126838684082</v>
      </c>
      <c r="AT41" s="152">
        <v>14.213197708129883</v>
      </c>
      <c r="AU41" s="152">
        <v>29.949237823486328</v>
      </c>
      <c r="AV41" s="152">
        <v>87</v>
      </c>
      <c r="AW41" s="152">
        <v>77</v>
      </c>
      <c r="AX41" s="152">
        <v>37</v>
      </c>
      <c r="AY41" s="152">
        <v>6</v>
      </c>
      <c r="AZ41" s="152">
        <v>3</v>
      </c>
      <c r="BA41" s="152">
        <v>58</v>
      </c>
      <c r="BB41" s="152">
        <v>41.428569793701172</v>
      </c>
      <c r="BC41" s="152">
        <v>36.666667938232422</v>
      </c>
      <c r="BD41" s="152">
        <v>17.619047164916992</v>
      </c>
      <c r="BE41" s="152">
        <v>2.8571429252624512</v>
      </c>
      <c r="BF41" s="152">
        <v>1.4285714626312256</v>
      </c>
    </row>
    <row r="42" spans="1:58" x14ac:dyDescent="0.3">
      <c r="A42" s="153" t="s">
        <v>425</v>
      </c>
      <c r="B42" s="153" t="s">
        <v>424</v>
      </c>
      <c r="C42" s="154">
        <v>134</v>
      </c>
      <c r="D42" s="154">
        <v>11</v>
      </c>
      <c r="E42" s="154">
        <v>40</v>
      </c>
      <c r="F42" s="154">
        <v>92.413795471191406</v>
      </c>
      <c r="G42" s="154">
        <v>7.5862069129943848</v>
      </c>
      <c r="H42" s="154">
        <v>177</v>
      </c>
      <c r="I42" s="154"/>
      <c r="J42" s="154">
        <v>4</v>
      </c>
      <c r="K42" s="154">
        <v>2</v>
      </c>
      <c r="L42" s="154">
        <v>1</v>
      </c>
      <c r="M42" s="154">
        <v>1</v>
      </c>
      <c r="N42" s="154">
        <v>96.195655822753906</v>
      </c>
      <c r="O42" s="154"/>
      <c r="P42" s="154">
        <v>2.1739130020141602</v>
      </c>
      <c r="Q42" s="154">
        <v>1.0869565010070801</v>
      </c>
      <c r="R42" s="154">
        <v>0.54347825050354004</v>
      </c>
      <c r="S42" s="154">
        <v>27</v>
      </c>
      <c r="T42" s="154">
        <v>26</v>
      </c>
      <c r="U42" s="154">
        <v>44</v>
      </c>
      <c r="V42" s="154">
        <v>40</v>
      </c>
      <c r="W42" s="154">
        <v>48</v>
      </c>
      <c r="X42" s="154">
        <v>14.594594955444336</v>
      </c>
      <c r="Y42" s="154">
        <v>14.054054260253906</v>
      </c>
      <c r="Z42" s="154">
        <v>23.783782958984375</v>
      </c>
      <c r="AA42" s="154">
        <v>21.621622085571289</v>
      </c>
      <c r="AB42" s="154">
        <v>25.945945739746094</v>
      </c>
      <c r="AC42" s="154">
        <v>19</v>
      </c>
      <c r="AD42" s="154">
        <v>1</v>
      </c>
      <c r="AE42" s="154">
        <v>67</v>
      </c>
      <c r="AF42" s="154">
        <v>98</v>
      </c>
      <c r="AG42" s="154">
        <v>10.270270347595215</v>
      </c>
      <c r="AH42" s="154">
        <v>0.54054051637649536</v>
      </c>
      <c r="AI42" s="154">
        <v>36.216217041015625</v>
      </c>
      <c r="AJ42" s="154">
        <v>52.972972869873047</v>
      </c>
      <c r="AK42" s="154">
        <v>24</v>
      </c>
      <c r="AL42" s="154">
        <v>13</v>
      </c>
      <c r="AM42" s="154">
        <v>16</v>
      </c>
      <c r="AN42" s="154">
        <v>16</v>
      </c>
      <c r="AO42" s="154">
        <v>83</v>
      </c>
      <c r="AP42" s="154">
        <v>33</v>
      </c>
      <c r="AQ42" s="154">
        <v>15.789473533630371</v>
      </c>
      <c r="AR42" s="154">
        <v>8.5526313781738281</v>
      </c>
      <c r="AS42" s="154">
        <v>10.526315689086914</v>
      </c>
      <c r="AT42" s="154">
        <v>10.526315689086914</v>
      </c>
      <c r="AU42" s="154">
        <v>54.605262756347656</v>
      </c>
      <c r="AV42" s="154">
        <v>34</v>
      </c>
      <c r="AW42" s="154">
        <v>49</v>
      </c>
      <c r="AX42" s="154">
        <v>34</v>
      </c>
      <c r="AY42" s="154">
        <v>25</v>
      </c>
      <c r="AZ42" s="154">
        <v>4</v>
      </c>
      <c r="BA42" s="154">
        <v>39</v>
      </c>
      <c r="BB42" s="154">
        <v>23.28767204284668</v>
      </c>
      <c r="BC42" s="154">
        <v>33.5616455078125</v>
      </c>
      <c r="BD42" s="154">
        <v>23.28767204284668</v>
      </c>
      <c r="BE42" s="154">
        <v>17.123287200927734</v>
      </c>
      <c r="BF42" s="154">
        <v>2.7397260665893555</v>
      </c>
    </row>
    <row r="43" spans="1:58" x14ac:dyDescent="0.3">
      <c r="A43" s="151" t="s">
        <v>380</v>
      </c>
      <c r="B43" s="151" t="s">
        <v>379</v>
      </c>
      <c r="C43" s="152">
        <v>60</v>
      </c>
      <c r="D43" s="152">
        <v>3</v>
      </c>
      <c r="E43" s="152">
        <v>158</v>
      </c>
      <c r="F43" s="152">
        <v>95.23809814453125</v>
      </c>
      <c r="G43" s="152">
        <v>4.7619047164916992</v>
      </c>
      <c r="H43" s="152">
        <v>206</v>
      </c>
      <c r="I43" s="152">
        <v>1</v>
      </c>
      <c r="J43" s="152">
        <v>1</v>
      </c>
      <c r="K43" s="152">
        <v>2</v>
      </c>
      <c r="L43" s="152">
        <v>7</v>
      </c>
      <c r="M43" s="152">
        <v>4</v>
      </c>
      <c r="N43" s="152">
        <v>94.930877685546875</v>
      </c>
      <c r="O43" s="152">
        <v>0.46082949638366699</v>
      </c>
      <c r="P43" s="152">
        <v>0.46082949638366699</v>
      </c>
      <c r="Q43" s="152">
        <v>0.92165899276733398</v>
      </c>
      <c r="R43" s="152">
        <v>3.2258064746856689</v>
      </c>
      <c r="S43" s="152">
        <v>73</v>
      </c>
      <c r="T43" s="152">
        <v>57</v>
      </c>
      <c r="U43" s="152">
        <v>69</v>
      </c>
      <c r="V43" s="152">
        <v>16</v>
      </c>
      <c r="W43" s="152">
        <v>6</v>
      </c>
      <c r="X43" s="152">
        <v>33.031673431396484</v>
      </c>
      <c r="Y43" s="152">
        <v>25.791854858398438</v>
      </c>
      <c r="Z43" s="152">
        <v>31.221719741821289</v>
      </c>
      <c r="AA43" s="152">
        <v>7.2398190498352051</v>
      </c>
      <c r="AB43" s="152">
        <v>2.7149322032928467</v>
      </c>
      <c r="AC43" s="152">
        <v>19</v>
      </c>
      <c r="AD43" s="152">
        <v>7</v>
      </c>
      <c r="AE43" s="152">
        <v>107</v>
      </c>
      <c r="AF43" s="152">
        <v>88</v>
      </c>
      <c r="AG43" s="152">
        <v>8.597285270690918</v>
      </c>
      <c r="AH43" s="152">
        <v>3.1674208641052246</v>
      </c>
      <c r="AI43" s="152">
        <v>48.416290283203125</v>
      </c>
      <c r="AJ43" s="152">
        <v>39.819004058837891</v>
      </c>
      <c r="AK43" s="152">
        <v>53</v>
      </c>
      <c r="AL43" s="152">
        <v>5</v>
      </c>
      <c r="AM43" s="152">
        <v>15</v>
      </c>
      <c r="AN43" s="152">
        <v>40</v>
      </c>
      <c r="AO43" s="152">
        <v>102</v>
      </c>
      <c r="AP43" s="152">
        <v>6</v>
      </c>
      <c r="AQ43" s="152">
        <v>24.651163101196289</v>
      </c>
      <c r="AR43" s="152">
        <v>2.3255813121795654</v>
      </c>
      <c r="AS43" s="152">
        <v>6.9767441749572754</v>
      </c>
      <c r="AT43" s="152">
        <v>18.604650497436523</v>
      </c>
      <c r="AU43" s="152">
        <v>47.441860198974609</v>
      </c>
      <c r="AV43" s="152">
        <v>32</v>
      </c>
      <c r="AW43" s="152">
        <v>55</v>
      </c>
      <c r="AX43" s="152">
        <v>27</v>
      </c>
      <c r="AY43" s="152">
        <v>35</v>
      </c>
      <c r="AZ43" s="152">
        <v>24</v>
      </c>
      <c r="BA43" s="152">
        <v>48</v>
      </c>
      <c r="BB43" s="152">
        <v>18.497110366821289</v>
      </c>
      <c r="BC43" s="152">
        <v>31.791908264160156</v>
      </c>
      <c r="BD43" s="152">
        <v>15.606936454772949</v>
      </c>
      <c r="BE43" s="152">
        <v>20.23121452331543</v>
      </c>
      <c r="BF43" s="152">
        <v>13.872832298278809</v>
      </c>
    </row>
    <row r="44" spans="1:58" x14ac:dyDescent="0.3">
      <c r="A44" s="153" t="s">
        <v>542</v>
      </c>
      <c r="B44" s="153" t="s">
        <v>541</v>
      </c>
      <c r="C44" s="154">
        <v>55</v>
      </c>
      <c r="D44" s="154">
        <v>5</v>
      </c>
      <c r="E44" s="154">
        <v>48</v>
      </c>
      <c r="F44" s="154">
        <v>91.666664123535156</v>
      </c>
      <c r="G44" s="154">
        <v>8.3333330154418945</v>
      </c>
      <c r="H44" s="154">
        <v>102</v>
      </c>
      <c r="I44" s="154"/>
      <c r="J44" s="154">
        <v>2</v>
      </c>
      <c r="K44" s="154"/>
      <c r="L44" s="154">
        <v>2</v>
      </c>
      <c r="M44" s="154">
        <v>2</v>
      </c>
      <c r="N44" s="154">
        <v>96.226417541503906</v>
      </c>
      <c r="O44" s="154"/>
      <c r="P44" s="154">
        <v>1.8867924213409424</v>
      </c>
      <c r="Q44" s="154"/>
      <c r="R44" s="154">
        <v>1.8867924213409424</v>
      </c>
      <c r="S44" s="154">
        <v>4</v>
      </c>
      <c r="T44" s="154">
        <v>25</v>
      </c>
      <c r="U44" s="154">
        <v>39</v>
      </c>
      <c r="V44" s="154">
        <v>31</v>
      </c>
      <c r="W44" s="154">
        <v>9</v>
      </c>
      <c r="X44" s="154">
        <v>3.7037036418914795</v>
      </c>
      <c r="Y44" s="154">
        <v>23.148147583007813</v>
      </c>
      <c r="Z44" s="154">
        <v>36.111110687255859</v>
      </c>
      <c r="AA44" s="154">
        <v>28.703702926635742</v>
      </c>
      <c r="AB44" s="154">
        <v>8.3333330154418945</v>
      </c>
      <c r="AC44" s="154">
        <v>6</v>
      </c>
      <c r="AD44" s="154"/>
      <c r="AE44" s="154">
        <v>77</v>
      </c>
      <c r="AF44" s="154">
        <v>25</v>
      </c>
      <c r="AG44" s="154">
        <v>5.5555553436279297</v>
      </c>
      <c r="AH44" s="154"/>
      <c r="AI44" s="154">
        <v>71.296295166015625</v>
      </c>
      <c r="AJ44" s="154">
        <v>23.148147583007813</v>
      </c>
      <c r="AK44" s="154">
        <v>8</v>
      </c>
      <c r="AL44" s="154">
        <v>5</v>
      </c>
      <c r="AM44" s="154">
        <v>9</v>
      </c>
      <c r="AN44" s="154">
        <v>11</v>
      </c>
      <c r="AO44" s="154">
        <v>57</v>
      </c>
      <c r="AP44" s="154">
        <v>18</v>
      </c>
      <c r="AQ44" s="154">
        <v>8.8888893127441406</v>
      </c>
      <c r="AR44" s="154">
        <v>5.5555553436279297</v>
      </c>
      <c r="AS44" s="154">
        <v>10</v>
      </c>
      <c r="AT44" s="154">
        <v>12.222222328186035</v>
      </c>
      <c r="AU44" s="154">
        <v>63.333332061767578</v>
      </c>
      <c r="AV44" s="154">
        <v>17</v>
      </c>
      <c r="AW44" s="154">
        <v>31</v>
      </c>
      <c r="AX44" s="154">
        <v>17</v>
      </c>
      <c r="AY44" s="154">
        <v>18</v>
      </c>
      <c r="AZ44" s="154">
        <v>7</v>
      </c>
      <c r="BA44" s="154">
        <v>18</v>
      </c>
      <c r="BB44" s="154">
        <v>18.888889312744141</v>
      </c>
      <c r="BC44" s="154">
        <v>34.444442749023438</v>
      </c>
      <c r="BD44" s="154">
        <v>18.888889312744141</v>
      </c>
      <c r="BE44" s="154">
        <v>20</v>
      </c>
      <c r="BF44" s="154">
        <v>7.7777776718139648</v>
      </c>
    </row>
    <row r="45" spans="1:58" x14ac:dyDescent="0.3">
      <c r="A45" s="151" t="s">
        <v>306</v>
      </c>
      <c r="B45" s="151" t="s">
        <v>305</v>
      </c>
      <c r="C45" s="152">
        <v>83</v>
      </c>
      <c r="D45" s="152">
        <v>14</v>
      </c>
      <c r="E45" s="152">
        <v>38</v>
      </c>
      <c r="F45" s="152">
        <v>85.567008972167969</v>
      </c>
      <c r="G45" s="152">
        <v>14.432990074157715</v>
      </c>
      <c r="H45" s="152">
        <v>118</v>
      </c>
      <c r="I45" s="152">
        <v>5</v>
      </c>
      <c r="J45" s="152">
        <v>4</v>
      </c>
      <c r="K45" s="152">
        <v>2</v>
      </c>
      <c r="L45" s="152">
        <v>1</v>
      </c>
      <c r="M45" s="152">
        <v>5</v>
      </c>
      <c r="N45" s="152">
        <v>90.769233703613281</v>
      </c>
      <c r="O45" s="152">
        <v>3.846153736114502</v>
      </c>
      <c r="P45" s="152">
        <v>3.076923131942749</v>
      </c>
      <c r="Q45" s="152">
        <v>1.5384615659713745</v>
      </c>
      <c r="R45" s="152">
        <v>0.76923078298568726</v>
      </c>
      <c r="S45" s="152">
        <v>6</v>
      </c>
      <c r="T45" s="152">
        <v>14</v>
      </c>
      <c r="U45" s="152">
        <v>35</v>
      </c>
      <c r="V45" s="152">
        <v>30</v>
      </c>
      <c r="W45" s="152">
        <v>50</v>
      </c>
      <c r="X45" s="152">
        <v>4.4444446563720703</v>
      </c>
      <c r="Y45" s="152">
        <v>10.370369911193848</v>
      </c>
      <c r="Z45" s="152">
        <v>25.925926208496094</v>
      </c>
      <c r="AA45" s="152">
        <v>22.222221374511719</v>
      </c>
      <c r="AB45" s="152">
        <v>37.037036895751953</v>
      </c>
      <c r="AC45" s="152">
        <v>19</v>
      </c>
      <c r="AD45" s="152"/>
      <c r="AE45" s="152">
        <v>47</v>
      </c>
      <c r="AF45" s="152">
        <v>69</v>
      </c>
      <c r="AG45" s="152">
        <v>14.074073791503906</v>
      </c>
      <c r="AH45" s="152"/>
      <c r="AI45" s="152">
        <v>34.814815521240234</v>
      </c>
      <c r="AJ45" s="152">
        <v>51.111110687255859</v>
      </c>
      <c r="AK45" s="152">
        <v>4</v>
      </c>
      <c r="AL45" s="152">
        <v>5</v>
      </c>
      <c r="AM45" s="152">
        <v>6</v>
      </c>
      <c r="AN45" s="152">
        <v>5</v>
      </c>
      <c r="AO45" s="152">
        <v>77</v>
      </c>
      <c r="AP45" s="152">
        <v>38</v>
      </c>
      <c r="AQ45" s="152">
        <v>4.123711109161377</v>
      </c>
      <c r="AR45" s="152">
        <v>5.1546392440795898</v>
      </c>
      <c r="AS45" s="152">
        <v>6.1855669021606445</v>
      </c>
      <c r="AT45" s="152">
        <v>5.1546392440795898</v>
      </c>
      <c r="AU45" s="152">
        <v>79.381446838378906</v>
      </c>
      <c r="AV45" s="152">
        <v>16</v>
      </c>
      <c r="AW45" s="152">
        <v>50</v>
      </c>
      <c r="AX45" s="152">
        <v>18</v>
      </c>
      <c r="AY45" s="152">
        <v>19</v>
      </c>
      <c r="AZ45" s="152">
        <v>5</v>
      </c>
      <c r="BA45" s="152">
        <v>27</v>
      </c>
      <c r="BB45" s="152">
        <v>14.814814567565918</v>
      </c>
      <c r="BC45" s="152">
        <v>46.296295166015625</v>
      </c>
      <c r="BD45" s="152">
        <v>16.666666030883789</v>
      </c>
      <c r="BE45" s="152">
        <v>17.592592239379883</v>
      </c>
      <c r="BF45" s="152">
        <v>4.6296296119689941</v>
      </c>
    </row>
    <row r="46" spans="1:58" x14ac:dyDescent="0.3">
      <c r="A46" s="153" t="s">
        <v>468</v>
      </c>
      <c r="B46" s="153" t="s">
        <v>467</v>
      </c>
      <c r="C46" s="154">
        <v>170</v>
      </c>
      <c r="D46" s="154">
        <v>13</v>
      </c>
      <c r="E46" s="154">
        <v>42</v>
      </c>
      <c r="F46" s="154">
        <v>92.896171569824219</v>
      </c>
      <c r="G46" s="154">
        <v>7.1038250923156738</v>
      </c>
      <c r="H46" s="154">
        <v>208</v>
      </c>
      <c r="I46" s="154">
        <v>4</v>
      </c>
      <c r="J46" s="154">
        <v>3</v>
      </c>
      <c r="K46" s="154">
        <v>2</v>
      </c>
      <c r="L46" s="154">
        <v>3</v>
      </c>
      <c r="M46" s="154">
        <v>5</v>
      </c>
      <c r="N46" s="154">
        <v>94.545455932617188</v>
      </c>
      <c r="O46" s="154">
        <v>1.8181818723678589</v>
      </c>
      <c r="P46" s="154">
        <v>1.3636363744735718</v>
      </c>
      <c r="Q46" s="154">
        <v>0.90909093618392944</v>
      </c>
      <c r="R46" s="154">
        <v>1.3636363744735718</v>
      </c>
      <c r="S46" s="154">
        <v>28</v>
      </c>
      <c r="T46" s="154">
        <v>60</v>
      </c>
      <c r="U46" s="154">
        <v>77</v>
      </c>
      <c r="V46" s="154">
        <v>38</v>
      </c>
      <c r="W46" s="154">
        <v>22</v>
      </c>
      <c r="X46" s="154">
        <v>12.44444465637207</v>
      </c>
      <c r="Y46" s="154">
        <v>26.666666030883789</v>
      </c>
      <c r="Z46" s="154">
        <v>34.222221374511719</v>
      </c>
      <c r="AA46" s="154">
        <v>16.888889312744141</v>
      </c>
      <c r="AB46" s="154">
        <v>9.7777776718139648</v>
      </c>
      <c r="AC46" s="154">
        <v>17</v>
      </c>
      <c r="AD46" s="154">
        <v>6</v>
      </c>
      <c r="AE46" s="154">
        <v>115</v>
      </c>
      <c r="AF46" s="154">
        <v>87</v>
      </c>
      <c r="AG46" s="154">
        <v>7.5555553436279297</v>
      </c>
      <c r="AH46" s="154">
        <v>2.6666667461395264</v>
      </c>
      <c r="AI46" s="154">
        <v>51.111110687255859</v>
      </c>
      <c r="AJ46" s="154">
        <v>38.666667938232422</v>
      </c>
      <c r="AK46" s="154">
        <v>31</v>
      </c>
      <c r="AL46" s="154">
        <v>12</v>
      </c>
      <c r="AM46" s="154">
        <v>32</v>
      </c>
      <c r="AN46" s="154">
        <v>30</v>
      </c>
      <c r="AO46" s="154">
        <v>113</v>
      </c>
      <c r="AP46" s="154">
        <v>7</v>
      </c>
      <c r="AQ46" s="154">
        <v>14.220183372497559</v>
      </c>
      <c r="AR46" s="154">
        <v>5.5045871734619141</v>
      </c>
      <c r="AS46" s="154">
        <v>14.678898811340332</v>
      </c>
      <c r="AT46" s="154">
        <v>13.761467933654785</v>
      </c>
      <c r="AU46" s="154">
        <v>51.834861755371094</v>
      </c>
      <c r="AV46" s="154">
        <v>51</v>
      </c>
      <c r="AW46" s="154">
        <v>55</v>
      </c>
      <c r="AX46" s="154">
        <v>42</v>
      </c>
      <c r="AY46" s="154">
        <v>66</v>
      </c>
      <c r="AZ46" s="154">
        <v>6</v>
      </c>
      <c r="BA46" s="154">
        <v>5</v>
      </c>
      <c r="BB46" s="154">
        <v>23.181818008422852</v>
      </c>
      <c r="BC46" s="154">
        <v>25</v>
      </c>
      <c r="BD46" s="154">
        <v>19.090909957885742</v>
      </c>
      <c r="BE46" s="154">
        <v>30</v>
      </c>
      <c r="BF46" s="154">
        <v>2.7272727489471436</v>
      </c>
    </row>
    <row r="47" spans="1:58" x14ac:dyDescent="0.3">
      <c r="A47" s="151" t="s">
        <v>448</v>
      </c>
      <c r="B47" s="151" t="s">
        <v>447</v>
      </c>
      <c r="C47" s="152">
        <v>84</v>
      </c>
      <c r="D47" s="152">
        <v>6</v>
      </c>
      <c r="E47" s="152">
        <v>197</v>
      </c>
      <c r="F47" s="152">
        <v>93.333335876464844</v>
      </c>
      <c r="G47" s="152">
        <v>6.6666665077209473</v>
      </c>
      <c r="H47" s="152">
        <v>258</v>
      </c>
      <c r="I47" s="152">
        <v>5</v>
      </c>
      <c r="J47" s="152">
        <v>6</v>
      </c>
      <c r="K47" s="152">
        <v>2</v>
      </c>
      <c r="L47" s="152">
        <v>6</v>
      </c>
      <c r="M47" s="152">
        <v>10</v>
      </c>
      <c r="N47" s="152">
        <v>93.140792846679688</v>
      </c>
      <c r="O47" s="152">
        <v>1.8050541877746582</v>
      </c>
      <c r="P47" s="152">
        <v>2.166064977645874</v>
      </c>
      <c r="Q47" s="152">
        <v>0.72202163934707642</v>
      </c>
      <c r="R47" s="152">
        <v>2.166064977645874</v>
      </c>
      <c r="S47" s="152">
        <v>18</v>
      </c>
      <c r="T47" s="152">
        <v>89</v>
      </c>
      <c r="U47" s="152">
        <v>90</v>
      </c>
      <c r="V47" s="152">
        <v>56</v>
      </c>
      <c r="W47" s="152">
        <v>34</v>
      </c>
      <c r="X47" s="152">
        <v>6.2717771530151367</v>
      </c>
      <c r="Y47" s="152">
        <v>31.010452270507813</v>
      </c>
      <c r="Z47" s="152">
        <v>31.358884811401367</v>
      </c>
      <c r="AA47" s="152">
        <v>19.512195587158203</v>
      </c>
      <c r="AB47" s="152">
        <v>11.84669017791748</v>
      </c>
      <c r="AC47" s="152">
        <v>11</v>
      </c>
      <c r="AD47" s="152">
        <v>3</v>
      </c>
      <c r="AE47" s="152">
        <v>61</v>
      </c>
      <c r="AF47" s="152">
        <v>212</v>
      </c>
      <c r="AG47" s="152">
        <v>3.8327527046203613</v>
      </c>
      <c r="AH47" s="152">
        <v>1.0452961921691895</v>
      </c>
      <c r="AI47" s="152">
        <v>21.254354476928711</v>
      </c>
      <c r="AJ47" s="152">
        <v>73.867599487304688</v>
      </c>
      <c r="AK47" s="152">
        <v>26</v>
      </c>
      <c r="AL47" s="152">
        <v>9</v>
      </c>
      <c r="AM47" s="152">
        <v>19</v>
      </c>
      <c r="AN47" s="152">
        <v>11</v>
      </c>
      <c r="AO47" s="152">
        <v>45</v>
      </c>
      <c r="AP47" s="152">
        <v>177</v>
      </c>
      <c r="AQ47" s="152">
        <v>23.636363983154297</v>
      </c>
      <c r="AR47" s="152">
        <v>8.1818180084228516</v>
      </c>
      <c r="AS47" s="152">
        <v>17.272727966308594</v>
      </c>
      <c r="AT47" s="152">
        <v>10</v>
      </c>
      <c r="AU47" s="152">
        <v>40.909091949462891</v>
      </c>
      <c r="AV47" s="152">
        <v>25</v>
      </c>
      <c r="AW47" s="152">
        <v>29</v>
      </c>
      <c r="AX47" s="152">
        <v>12</v>
      </c>
      <c r="AY47" s="152">
        <v>25</v>
      </c>
      <c r="AZ47" s="152">
        <v>5</v>
      </c>
      <c r="BA47" s="152">
        <v>191</v>
      </c>
      <c r="BB47" s="152">
        <v>26.041666030883789</v>
      </c>
      <c r="BC47" s="152">
        <v>30.208333969116211</v>
      </c>
      <c r="BD47" s="152">
        <v>12.5</v>
      </c>
      <c r="BE47" s="152">
        <v>26.041666030883789</v>
      </c>
      <c r="BF47" s="152">
        <v>5.2083334922790527</v>
      </c>
    </row>
    <row r="48" spans="1:58" x14ac:dyDescent="0.3">
      <c r="A48" s="153" t="s">
        <v>516</v>
      </c>
      <c r="B48" s="153" t="s">
        <v>515</v>
      </c>
      <c r="C48" s="154">
        <v>303</v>
      </c>
      <c r="D48" s="154">
        <v>37</v>
      </c>
      <c r="E48" s="154">
        <v>117</v>
      </c>
      <c r="F48" s="154">
        <v>89.117645263671875</v>
      </c>
      <c r="G48" s="154">
        <v>10.882352828979492</v>
      </c>
      <c r="H48" s="154">
        <v>402</v>
      </c>
      <c r="I48" s="154">
        <v>16</v>
      </c>
      <c r="J48" s="154">
        <v>8</v>
      </c>
      <c r="K48" s="154">
        <v>5</v>
      </c>
      <c r="L48" s="154">
        <v>8</v>
      </c>
      <c r="M48" s="154">
        <v>18</v>
      </c>
      <c r="N48" s="154">
        <v>91.571754455566406</v>
      </c>
      <c r="O48" s="154">
        <v>3.6446468830108643</v>
      </c>
      <c r="P48" s="154">
        <v>1.8223234415054321</v>
      </c>
      <c r="Q48" s="154">
        <v>1.1389521360397339</v>
      </c>
      <c r="R48" s="154">
        <v>1.8223234415054321</v>
      </c>
      <c r="S48" s="154">
        <v>75</v>
      </c>
      <c r="T48" s="154">
        <v>111</v>
      </c>
      <c r="U48" s="154">
        <v>73</v>
      </c>
      <c r="V48" s="154">
        <v>101</v>
      </c>
      <c r="W48" s="154">
        <v>97</v>
      </c>
      <c r="X48" s="154">
        <v>16.411378860473633</v>
      </c>
      <c r="Y48" s="154">
        <v>24.288839340209961</v>
      </c>
      <c r="Z48" s="154">
        <v>15.97374153137207</v>
      </c>
      <c r="AA48" s="154">
        <v>22.100656509399414</v>
      </c>
      <c r="AB48" s="154">
        <v>21.225383758544922</v>
      </c>
      <c r="AC48" s="154">
        <v>12</v>
      </c>
      <c r="AD48" s="154">
        <v>10</v>
      </c>
      <c r="AE48" s="154">
        <v>183</v>
      </c>
      <c r="AF48" s="154">
        <v>252</v>
      </c>
      <c r="AG48" s="154">
        <v>2.6258206367492676</v>
      </c>
      <c r="AH48" s="154">
        <v>2.1881837844848633</v>
      </c>
      <c r="AI48" s="154">
        <v>40.04376220703125</v>
      </c>
      <c r="AJ48" s="154">
        <v>55.142230987548828</v>
      </c>
      <c r="AK48" s="154">
        <v>179</v>
      </c>
      <c r="AL48" s="154">
        <v>39</v>
      </c>
      <c r="AM48" s="154">
        <v>57</v>
      </c>
      <c r="AN48" s="154">
        <v>28</v>
      </c>
      <c r="AO48" s="154">
        <v>139</v>
      </c>
      <c r="AP48" s="154">
        <v>15</v>
      </c>
      <c r="AQ48" s="154">
        <v>40.497737884521484</v>
      </c>
      <c r="AR48" s="154">
        <v>8.8235292434692383</v>
      </c>
      <c r="AS48" s="154">
        <v>12.895927429199219</v>
      </c>
      <c r="AT48" s="154">
        <v>6.3348417282104492</v>
      </c>
      <c r="AU48" s="154">
        <v>31.447963714599609</v>
      </c>
      <c r="AV48" s="154">
        <v>170</v>
      </c>
      <c r="AW48" s="154">
        <v>140</v>
      </c>
      <c r="AX48" s="154">
        <v>77</v>
      </c>
      <c r="AY48" s="154">
        <v>50</v>
      </c>
      <c r="AZ48" s="154">
        <v>10</v>
      </c>
      <c r="BA48" s="154">
        <v>10</v>
      </c>
      <c r="BB48" s="154">
        <v>38.031318664550781</v>
      </c>
      <c r="BC48" s="154">
        <v>31.319910049438477</v>
      </c>
      <c r="BD48" s="154">
        <v>17.225950241088867</v>
      </c>
      <c r="BE48" s="154">
        <v>11.18568229675293</v>
      </c>
      <c r="BF48" s="154">
        <v>2.2371363639831543</v>
      </c>
    </row>
    <row r="49" spans="1:58" x14ac:dyDescent="0.3">
      <c r="A49" s="151" t="s">
        <v>462</v>
      </c>
      <c r="B49" s="151" t="s">
        <v>461</v>
      </c>
      <c r="C49" s="152">
        <v>325</v>
      </c>
      <c r="D49" s="152">
        <v>54</v>
      </c>
      <c r="E49" s="152">
        <v>36</v>
      </c>
      <c r="F49" s="152">
        <v>85.751976013183594</v>
      </c>
      <c r="G49" s="152">
        <v>14.248021125793457</v>
      </c>
      <c r="H49" s="152">
        <v>375</v>
      </c>
      <c r="I49" s="152">
        <v>7</v>
      </c>
      <c r="J49" s="152">
        <v>9</v>
      </c>
      <c r="K49" s="152">
        <v>11</v>
      </c>
      <c r="L49" s="152">
        <v>3</v>
      </c>
      <c r="M49" s="152">
        <v>10</v>
      </c>
      <c r="N49" s="152">
        <v>92.59259033203125</v>
      </c>
      <c r="O49" s="152">
        <v>1.7283951044082642</v>
      </c>
      <c r="P49" s="152">
        <v>2.2222223281860352</v>
      </c>
      <c r="Q49" s="152">
        <v>2.7160494327545166</v>
      </c>
      <c r="R49" s="152">
        <v>0.74074071645736694</v>
      </c>
      <c r="S49" s="152">
        <v>173</v>
      </c>
      <c r="T49" s="152">
        <v>59</v>
      </c>
      <c r="U49" s="152">
        <v>79</v>
      </c>
      <c r="V49" s="152">
        <v>63</v>
      </c>
      <c r="W49" s="152">
        <v>41</v>
      </c>
      <c r="X49" s="152">
        <v>41.686748504638672</v>
      </c>
      <c r="Y49" s="152">
        <v>14.216867446899414</v>
      </c>
      <c r="Z49" s="152">
        <v>19.036144256591797</v>
      </c>
      <c r="AA49" s="152">
        <v>15.180723190307617</v>
      </c>
      <c r="AB49" s="152">
        <v>9.8795185089111328</v>
      </c>
      <c r="AC49" s="152">
        <v>35</v>
      </c>
      <c r="AD49" s="152">
        <v>2</v>
      </c>
      <c r="AE49" s="152">
        <v>202</v>
      </c>
      <c r="AF49" s="152">
        <v>176</v>
      </c>
      <c r="AG49" s="152">
        <v>8.4337348937988281</v>
      </c>
      <c r="AH49" s="152">
        <v>0.48192772269248962</v>
      </c>
      <c r="AI49" s="152">
        <v>48.674697875976563</v>
      </c>
      <c r="AJ49" s="152">
        <v>42.409637451171875</v>
      </c>
      <c r="AK49" s="152">
        <v>104</v>
      </c>
      <c r="AL49" s="152">
        <v>25</v>
      </c>
      <c r="AM49" s="152">
        <v>40</v>
      </c>
      <c r="AN49" s="152">
        <v>32</v>
      </c>
      <c r="AO49" s="152">
        <v>191</v>
      </c>
      <c r="AP49" s="152">
        <v>23</v>
      </c>
      <c r="AQ49" s="152">
        <v>26.530612945556641</v>
      </c>
      <c r="AR49" s="152">
        <v>6.3775510787963867</v>
      </c>
      <c r="AS49" s="152">
        <v>10.204081535339355</v>
      </c>
      <c r="AT49" s="152">
        <v>8.1632652282714844</v>
      </c>
      <c r="AU49" s="152">
        <v>48.724491119384766</v>
      </c>
      <c r="AV49" s="152">
        <v>96</v>
      </c>
      <c r="AW49" s="152">
        <v>104</v>
      </c>
      <c r="AX49" s="152">
        <v>41</v>
      </c>
      <c r="AY49" s="152">
        <v>139</v>
      </c>
      <c r="AZ49" s="152">
        <v>16</v>
      </c>
      <c r="BA49" s="152">
        <v>19</v>
      </c>
      <c r="BB49" s="152">
        <v>24.242424011230469</v>
      </c>
      <c r="BC49" s="152">
        <v>26.262626647949219</v>
      </c>
      <c r="BD49" s="152">
        <v>10.353535652160645</v>
      </c>
      <c r="BE49" s="152">
        <v>35.101009368896484</v>
      </c>
      <c r="BF49" s="152">
        <v>4.0404038429260254</v>
      </c>
    </row>
    <row r="50" spans="1:58" x14ac:dyDescent="0.3">
      <c r="A50" s="153" t="s">
        <v>442</v>
      </c>
      <c r="B50" s="153" t="s">
        <v>441</v>
      </c>
      <c r="C50" s="154">
        <v>275</v>
      </c>
      <c r="D50" s="154">
        <v>20</v>
      </c>
      <c r="E50" s="154">
        <v>48</v>
      </c>
      <c r="F50" s="154">
        <v>93.2203369140625</v>
      </c>
      <c r="G50" s="154">
        <v>6.7796611785888672</v>
      </c>
      <c r="H50" s="154">
        <v>252</v>
      </c>
      <c r="I50" s="154">
        <v>17</v>
      </c>
      <c r="J50" s="154">
        <v>14</v>
      </c>
      <c r="K50" s="154">
        <v>8</v>
      </c>
      <c r="L50" s="154">
        <v>14</v>
      </c>
      <c r="M50" s="154">
        <v>38</v>
      </c>
      <c r="N50" s="154">
        <v>82.622947692871094</v>
      </c>
      <c r="O50" s="154">
        <v>5.5737705230712891</v>
      </c>
      <c r="P50" s="154">
        <v>4.5901637077331543</v>
      </c>
      <c r="Q50" s="154">
        <v>2.6229507923126221</v>
      </c>
      <c r="R50" s="154">
        <v>4.5901637077331543</v>
      </c>
      <c r="S50" s="154">
        <v>82</v>
      </c>
      <c r="T50" s="154">
        <v>64</v>
      </c>
      <c r="U50" s="154">
        <v>75</v>
      </c>
      <c r="V50" s="154">
        <v>46</v>
      </c>
      <c r="W50" s="154">
        <v>76</v>
      </c>
      <c r="X50" s="154">
        <v>23.906705856323242</v>
      </c>
      <c r="Y50" s="154">
        <v>18.658891677856445</v>
      </c>
      <c r="Z50" s="154">
        <v>21.865888595581055</v>
      </c>
      <c r="AA50" s="154">
        <v>13.411078453063965</v>
      </c>
      <c r="AB50" s="154">
        <v>22.157434463500977</v>
      </c>
      <c r="AC50" s="154">
        <v>38</v>
      </c>
      <c r="AD50" s="154">
        <v>4</v>
      </c>
      <c r="AE50" s="154">
        <v>178</v>
      </c>
      <c r="AF50" s="154">
        <v>123</v>
      </c>
      <c r="AG50" s="154">
        <v>11.078717231750488</v>
      </c>
      <c r="AH50" s="154">
        <v>1.1661807298660278</v>
      </c>
      <c r="AI50" s="154">
        <v>51.895042419433594</v>
      </c>
      <c r="AJ50" s="154">
        <v>35.860057830810547</v>
      </c>
      <c r="AK50" s="154">
        <v>75</v>
      </c>
      <c r="AL50" s="154">
        <v>23</v>
      </c>
      <c r="AM50" s="154">
        <v>36</v>
      </c>
      <c r="AN50" s="154">
        <v>32</v>
      </c>
      <c r="AO50" s="154">
        <v>138</v>
      </c>
      <c r="AP50" s="154">
        <v>39</v>
      </c>
      <c r="AQ50" s="154">
        <v>24.671052932739258</v>
      </c>
      <c r="AR50" s="154">
        <v>7.5657896995544434</v>
      </c>
      <c r="AS50" s="154">
        <v>11.842104911804199</v>
      </c>
      <c r="AT50" s="154">
        <v>10.526315689086914</v>
      </c>
      <c r="AU50" s="154">
        <v>45.394737243652344</v>
      </c>
      <c r="AV50" s="154">
        <v>65</v>
      </c>
      <c r="AW50" s="154">
        <v>107</v>
      </c>
      <c r="AX50" s="154">
        <v>68</v>
      </c>
      <c r="AY50" s="154">
        <v>77</v>
      </c>
      <c r="AZ50" s="154">
        <v>16</v>
      </c>
      <c r="BA50" s="154">
        <v>10</v>
      </c>
      <c r="BB50" s="154">
        <v>19.519519805908203</v>
      </c>
      <c r="BC50" s="154">
        <v>32.132133483886719</v>
      </c>
      <c r="BD50" s="154">
        <v>20.420419692993164</v>
      </c>
      <c r="BE50" s="154">
        <v>23.123123168945313</v>
      </c>
      <c r="BF50" s="154">
        <v>4.804804801940918</v>
      </c>
    </row>
    <row r="51" spans="1:58" x14ac:dyDescent="0.3">
      <c r="A51" s="151" t="s">
        <v>444</v>
      </c>
      <c r="B51" s="151" t="s">
        <v>443</v>
      </c>
      <c r="C51" s="152">
        <v>178</v>
      </c>
      <c r="D51" s="152">
        <v>24</v>
      </c>
      <c r="E51" s="152">
        <v>26</v>
      </c>
      <c r="F51" s="152">
        <v>88.118812561035156</v>
      </c>
      <c r="G51" s="152">
        <v>11.88118839263916</v>
      </c>
      <c r="H51" s="152">
        <v>205</v>
      </c>
      <c r="I51" s="152">
        <v>2</v>
      </c>
      <c r="J51" s="152">
        <v>5</v>
      </c>
      <c r="K51" s="152">
        <v>1</v>
      </c>
      <c r="L51" s="152">
        <v>8</v>
      </c>
      <c r="M51" s="152">
        <v>7</v>
      </c>
      <c r="N51" s="152">
        <v>92.760177612304688</v>
      </c>
      <c r="O51" s="152">
        <v>0.90497738122940063</v>
      </c>
      <c r="P51" s="152">
        <v>2.2624435424804688</v>
      </c>
      <c r="Q51" s="152">
        <v>0.45248869061470032</v>
      </c>
      <c r="R51" s="152">
        <v>3.6199095249176025</v>
      </c>
      <c r="S51" s="152">
        <v>9</v>
      </c>
      <c r="T51" s="152">
        <v>32</v>
      </c>
      <c r="U51" s="152">
        <v>30</v>
      </c>
      <c r="V51" s="152">
        <v>43</v>
      </c>
      <c r="W51" s="152">
        <v>114</v>
      </c>
      <c r="X51" s="152">
        <v>3.9473683834075928</v>
      </c>
      <c r="Y51" s="152">
        <v>14.035087585449219</v>
      </c>
      <c r="Z51" s="152">
        <v>13.157895088195801</v>
      </c>
      <c r="AA51" s="152">
        <v>18.859649658203125</v>
      </c>
      <c r="AB51" s="152">
        <v>50</v>
      </c>
      <c r="AC51" s="152">
        <v>10</v>
      </c>
      <c r="AD51" s="152">
        <v>4</v>
      </c>
      <c r="AE51" s="152">
        <v>209</v>
      </c>
      <c r="AF51" s="152">
        <v>5</v>
      </c>
      <c r="AG51" s="152">
        <v>4.3859648704528809</v>
      </c>
      <c r="AH51" s="152">
        <v>1.7543859481811523</v>
      </c>
      <c r="AI51" s="152">
        <v>91.666664123535156</v>
      </c>
      <c r="AJ51" s="152">
        <v>2.1929824352264404</v>
      </c>
      <c r="AK51" s="152">
        <v>40</v>
      </c>
      <c r="AL51" s="152">
        <v>11</v>
      </c>
      <c r="AM51" s="152">
        <v>33</v>
      </c>
      <c r="AN51" s="152">
        <v>16</v>
      </c>
      <c r="AO51" s="152">
        <v>111</v>
      </c>
      <c r="AP51" s="152">
        <v>17</v>
      </c>
      <c r="AQ51" s="152">
        <v>18.957345962524414</v>
      </c>
      <c r="AR51" s="152">
        <v>5.2132701873779297</v>
      </c>
      <c r="AS51" s="152">
        <v>15.639810562133789</v>
      </c>
      <c r="AT51" s="152">
        <v>7.5829381942749023</v>
      </c>
      <c r="AU51" s="152">
        <v>52.606636047363281</v>
      </c>
      <c r="AV51" s="152">
        <v>20</v>
      </c>
      <c r="AW51" s="152">
        <v>67</v>
      </c>
      <c r="AX51" s="152">
        <v>54</v>
      </c>
      <c r="AY51" s="152">
        <v>51</v>
      </c>
      <c r="AZ51" s="152">
        <v>17</v>
      </c>
      <c r="BA51" s="152">
        <v>19</v>
      </c>
      <c r="BB51" s="152">
        <v>9.5693778991699219</v>
      </c>
      <c r="BC51" s="152">
        <v>32.057415008544922</v>
      </c>
      <c r="BD51" s="152">
        <v>25.837320327758789</v>
      </c>
      <c r="BE51" s="152">
        <v>24.401914596557617</v>
      </c>
      <c r="BF51" s="152">
        <v>8.1339712142944336</v>
      </c>
    </row>
    <row r="52" spans="1:58" x14ac:dyDescent="0.3">
      <c r="A52" s="153" t="s">
        <v>364</v>
      </c>
      <c r="B52" s="153" t="s">
        <v>363</v>
      </c>
      <c r="C52" s="154">
        <v>45</v>
      </c>
      <c r="D52" s="154">
        <v>5</v>
      </c>
      <c r="E52" s="154">
        <v>302</v>
      </c>
      <c r="F52" s="154">
        <v>90</v>
      </c>
      <c r="G52" s="154">
        <v>10</v>
      </c>
      <c r="H52" s="154">
        <v>260</v>
      </c>
      <c r="I52" s="154">
        <v>18</v>
      </c>
      <c r="J52" s="154">
        <v>16</v>
      </c>
      <c r="K52" s="154">
        <v>16</v>
      </c>
      <c r="L52" s="154">
        <v>17</v>
      </c>
      <c r="M52" s="154">
        <v>25</v>
      </c>
      <c r="N52" s="154">
        <v>79.510704040527344</v>
      </c>
      <c r="O52" s="154">
        <v>5.5045871734619141</v>
      </c>
      <c r="P52" s="154">
        <v>4.8929662704467773</v>
      </c>
      <c r="Q52" s="154">
        <v>4.8929662704467773</v>
      </c>
      <c r="R52" s="154">
        <v>5.1987767219543457</v>
      </c>
      <c r="S52" s="154">
        <v>57</v>
      </c>
      <c r="T52" s="154">
        <v>122</v>
      </c>
      <c r="U52" s="154">
        <v>74</v>
      </c>
      <c r="V52" s="154">
        <v>49</v>
      </c>
      <c r="W52" s="154">
        <v>50</v>
      </c>
      <c r="X52" s="154">
        <v>16.193181991577148</v>
      </c>
      <c r="Y52" s="154">
        <v>34.659091949462891</v>
      </c>
      <c r="Z52" s="154">
        <v>21.022727966308594</v>
      </c>
      <c r="AA52" s="154">
        <v>13.920454978942871</v>
      </c>
      <c r="AB52" s="154">
        <v>14.204545021057129</v>
      </c>
      <c r="AC52" s="154">
        <v>9</v>
      </c>
      <c r="AD52" s="154">
        <v>5</v>
      </c>
      <c r="AE52" s="154">
        <v>167</v>
      </c>
      <c r="AF52" s="154">
        <v>171</v>
      </c>
      <c r="AG52" s="154">
        <v>2.5568182468414307</v>
      </c>
      <c r="AH52" s="154">
        <v>1.4204545021057129</v>
      </c>
      <c r="AI52" s="154">
        <v>47.443180084228516</v>
      </c>
      <c r="AJ52" s="154">
        <v>48.579544067382813</v>
      </c>
      <c r="AK52" s="154">
        <v>72</v>
      </c>
      <c r="AL52" s="154">
        <v>10</v>
      </c>
      <c r="AM52" s="154">
        <v>21</v>
      </c>
      <c r="AN52" s="154">
        <v>3</v>
      </c>
      <c r="AO52" s="154">
        <v>54</v>
      </c>
      <c r="AP52" s="154">
        <v>192</v>
      </c>
      <c r="AQ52" s="154">
        <v>45</v>
      </c>
      <c r="AR52" s="154">
        <v>6.25</v>
      </c>
      <c r="AS52" s="154">
        <v>13.125</v>
      </c>
      <c r="AT52" s="154">
        <v>1.875</v>
      </c>
      <c r="AU52" s="154">
        <v>33.75</v>
      </c>
      <c r="AV52" s="154">
        <v>62</v>
      </c>
      <c r="AW52" s="154">
        <v>89</v>
      </c>
      <c r="AX52" s="154">
        <v>12</v>
      </c>
      <c r="AY52" s="154">
        <v>3</v>
      </c>
      <c r="AZ52" s="154"/>
      <c r="BA52" s="154">
        <v>186</v>
      </c>
      <c r="BB52" s="154">
        <v>37.349395751953125</v>
      </c>
      <c r="BC52" s="154">
        <v>53.614456176757813</v>
      </c>
      <c r="BD52" s="154">
        <v>7.2289156913757324</v>
      </c>
      <c r="BE52" s="154">
        <v>1.8072289228439331</v>
      </c>
      <c r="BF52" s="154"/>
    </row>
    <row r="53" spans="1:58" x14ac:dyDescent="0.3">
      <c r="A53" s="151" t="s">
        <v>392</v>
      </c>
      <c r="B53" s="151" t="s">
        <v>391</v>
      </c>
      <c r="C53" s="152">
        <v>213</v>
      </c>
      <c r="D53" s="152">
        <v>25</v>
      </c>
      <c r="E53" s="152">
        <v>20</v>
      </c>
      <c r="F53" s="152">
        <v>89.495796203613281</v>
      </c>
      <c r="G53" s="152">
        <v>10.504201889038086</v>
      </c>
      <c r="H53" s="152">
        <v>208</v>
      </c>
      <c r="I53" s="152">
        <v>8</v>
      </c>
      <c r="J53" s="152">
        <v>8</v>
      </c>
      <c r="K53" s="152">
        <v>17</v>
      </c>
      <c r="L53" s="152">
        <v>10</v>
      </c>
      <c r="M53" s="152">
        <v>7</v>
      </c>
      <c r="N53" s="152">
        <v>82.868522644042969</v>
      </c>
      <c r="O53" s="152">
        <v>3.187251091003418</v>
      </c>
      <c r="P53" s="152">
        <v>3.187251091003418</v>
      </c>
      <c r="Q53" s="152">
        <v>6.7729082107543945</v>
      </c>
      <c r="R53" s="152">
        <v>3.9840638637542725</v>
      </c>
      <c r="S53" s="152">
        <v>54</v>
      </c>
      <c r="T53" s="152">
        <v>89</v>
      </c>
      <c r="U53" s="152">
        <v>53</v>
      </c>
      <c r="V53" s="152">
        <v>36</v>
      </c>
      <c r="W53" s="152">
        <v>26</v>
      </c>
      <c r="X53" s="152">
        <v>20.930233001708984</v>
      </c>
      <c r="Y53" s="152">
        <v>34.496124267578125</v>
      </c>
      <c r="Z53" s="152">
        <v>20.542634963989258</v>
      </c>
      <c r="AA53" s="152">
        <v>13.953488349914551</v>
      </c>
      <c r="AB53" s="152">
        <v>10.077519416809082</v>
      </c>
      <c r="AC53" s="152">
        <v>19</v>
      </c>
      <c r="AD53" s="152">
        <v>1</v>
      </c>
      <c r="AE53" s="152">
        <v>155</v>
      </c>
      <c r="AF53" s="152">
        <v>83</v>
      </c>
      <c r="AG53" s="152">
        <v>7.3643412590026855</v>
      </c>
      <c r="AH53" s="152">
        <v>0.38759690523147583</v>
      </c>
      <c r="AI53" s="152">
        <v>60.077518463134766</v>
      </c>
      <c r="AJ53" s="152">
        <v>32.170543670654297</v>
      </c>
      <c r="AK53" s="152">
        <v>49</v>
      </c>
      <c r="AL53" s="152">
        <v>12</v>
      </c>
      <c r="AM53" s="152">
        <v>33</v>
      </c>
      <c r="AN53" s="152">
        <v>20</v>
      </c>
      <c r="AO53" s="152">
        <v>125</v>
      </c>
      <c r="AP53" s="152">
        <v>19</v>
      </c>
      <c r="AQ53" s="152">
        <v>20.502092361450195</v>
      </c>
      <c r="AR53" s="152">
        <v>5.0209202766418457</v>
      </c>
      <c r="AS53" s="152">
        <v>13.807531356811523</v>
      </c>
      <c r="AT53" s="152">
        <v>8.3682012557983398</v>
      </c>
      <c r="AU53" s="152">
        <v>52.301254272460938</v>
      </c>
      <c r="AV53" s="152">
        <v>55</v>
      </c>
      <c r="AW53" s="152">
        <v>61</v>
      </c>
      <c r="AX53" s="152">
        <v>33</v>
      </c>
      <c r="AY53" s="152">
        <v>52</v>
      </c>
      <c r="AZ53" s="152">
        <v>30</v>
      </c>
      <c r="BA53" s="152">
        <v>27</v>
      </c>
      <c r="BB53" s="152">
        <v>23.809524536132813</v>
      </c>
      <c r="BC53" s="152">
        <v>26.406927108764648</v>
      </c>
      <c r="BD53" s="152">
        <v>14.285714149475098</v>
      </c>
      <c r="BE53" s="152">
        <v>22.510822296142578</v>
      </c>
      <c r="BF53" s="152">
        <v>12.98701286315918</v>
      </c>
    </row>
    <row r="54" spans="1:58" x14ac:dyDescent="0.3">
      <c r="A54" s="153" t="s">
        <v>325</v>
      </c>
      <c r="B54" s="153" t="s">
        <v>324</v>
      </c>
      <c r="C54" s="154">
        <v>2</v>
      </c>
      <c r="D54" s="154">
        <v>1</v>
      </c>
      <c r="E54" s="154">
        <v>91</v>
      </c>
      <c r="F54" s="154">
        <v>66.666664123535156</v>
      </c>
      <c r="G54" s="154">
        <v>33.333332061767578</v>
      </c>
      <c r="H54" s="154">
        <v>68</v>
      </c>
      <c r="I54" s="154">
        <v>2</v>
      </c>
      <c r="J54" s="154">
        <v>5</v>
      </c>
      <c r="K54" s="154">
        <v>14</v>
      </c>
      <c r="L54" s="154">
        <v>4</v>
      </c>
      <c r="M54" s="154">
        <v>1</v>
      </c>
      <c r="N54" s="154">
        <v>73.118278503417969</v>
      </c>
      <c r="O54" s="154">
        <v>2.1505377292633057</v>
      </c>
      <c r="P54" s="154">
        <v>5.3763442039489746</v>
      </c>
      <c r="Q54" s="154">
        <v>15.053763389587402</v>
      </c>
      <c r="R54" s="154">
        <v>4.3010754585266113</v>
      </c>
      <c r="S54" s="154">
        <v>24</v>
      </c>
      <c r="T54" s="154">
        <v>31</v>
      </c>
      <c r="U54" s="154">
        <v>16</v>
      </c>
      <c r="V54" s="154">
        <v>15</v>
      </c>
      <c r="W54" s="154">
        <v>8</v>
      </c>
      <c r="X54" s="154">
        <v>25.531915664672852</v>
      </c>
      <c r="Y54" s="154">
        <v>32.978721618652344</v>
      </c>
      <c r="Z54" s="154">
        <v>17.021276473999023</v>
      </c>
      <c r="AA54" s="154">
        <v>15.957447052001953</v>
      </c>
      <c r="AB54" s="154">
        <v>8.5106382369995117</v>
      </c>
      <c r="AC54" s="154">
        <v>9</v>
      </c>
      <c r="AD54" s="154"/>
      <c r="AE54" s="154">
        <v>67</v>
      </c>
      <c r="AF54" s="154">
        <v>18</v>
      </c>
      <c r="AG54" s="154">
        <v>9.574467658996582</v>
      </c>
      <c r="AH54" s="154"/>
      <c r="AI54" s="154">
        <v>71.276596069335938</v>
      </c>
      <c r="AJ54" s="154">
        <v>19.148935317993164</v>
      </c>
      <c r="AK54" s="154">
        <v>10</v>
      </c>
      <c r="AL54" s="154">
        <v>8</v>
      </c>
      <c r="AM54" s="154">
        <v>8</v>
      </c>
      <c r="AN54" s="154">
        <v>6</v>
      </c>
      <c r="AO54" s="154">
        <v>55</v>
      </c>
      <c r="AP54" s="154">
        <v>7</v>
      </c>
      <c r="AQ54" s="154">
        <v>11.494253158569336</v>
      </c>
      <c r="AR54" s="154">
        <v>9.1954021453857422</v>
      </c>
      <c r="AS54" s="154">
        <v>9.1954021453857422</v>
      </c>
      <c r="AT54" s="154">
        <v>6.8965516090393066</v>
      </c>
      <c r="AU54" s="154">
        <v>63.218391418457031</v>
      </c>
      <c r="AV54" s="154">
        <v>3</v>
      </c>
      <c r="AW54" s="154">
        <v>33</v>
      </c>
      <c r="AX54" s="154">
        <v>18</v>
      </c>
      <c r="AY54" s="154">
        <v>16</v>
      </c>
      <c r="AZ54" s="154">
        <v>4</v>
      </c>
      <c r="BA54" s="154">
        <v>20</v>
      </c>
      <c r="BB54" s="154">
        <v>4.0540542602539063</v>
      </c>
      <c r="BC54" s="154">
        <v>44.594593048095703</v>
      </c>
      <c r="BD54" s="154">
        <v>24.324323654174805</v>
      </c>
      <c r="BE54" s="154">
        <v>21.621622085571289</v>
      </c>
      <c r="BF54" s="154">
        <v>5.4054055213928223</v>
      </c>
    </row>
    <row r="55" spans="1:58" x14ac:dyDescent="0.3">
      <c r="A55" s="151" t="s">
        <v>478</v>
      </c>
      <c r="B55" s="151" t="s">
        <v>477</v>
      </c>
      <c r="C55" s="152">
        <v>12</v>
      </c>
      <c r="D55" s="152">
        <v>3</v>
      </c>
      <c r="E55" s="152">
        <v>206</v>
      </c>
      <c r="F55" s="152">
        <v>80</v>
      </c>
      <c r="G55" s="152">
        <v>20</v>
      </c>
      <c r="H55" s="152">
        <v>155</v>
      </c>
      <c r="I55" s="152">
        <v>3</v>
      </c>
      <c r="J55" s="152">
        <v>19</v>
      </c>
      <c r="K55" s="152">
        <v>11</v>
      </c>
      <c r="L55" s="152">
        <v>28</v>
      </c>
      <c r="M55" s="152">
        <v>5</v>
      </c>
      <c r="N55" s="152">
        <v>71.759262084960938</v>
      </c>
      <c r="O55" s="152">
        <v>1.3888888359069824</v>
      </c>
      <c r="P55" s="152">
        <v>8.7962961196899414</v>
      </c>
      <c r="Q55" s="152">
        <v>5.092592716217041</v>
      </c>
      <c r="R55" s="152">
        <v>12.962963104248047</v>
      </c>
      <c r="S55" s="152">
        <v>17</v>
      </c>
      <c r="T55" s="152">
        <v>52</v>
      </c>
      <c r="U55" s="152">
        <v>59</v>
      </c>
      <c r="V55" s="152">
        <v>43</v>
      </c>
      <c r="W55" s="152">
        <v>50</v>
      </c>
      <c r="X55" s="152">
        <v>7.6923074722290039</v>
      </c>
      <c r="Y55" s="152">
        <v>23.529411315917969</v>
      </c>
      <c r="Z55" s="152">
        <v>26.696832656860352</v>
      </c>
      <c r="AA55" s="152">
        <v>19.457014083862305</v>
      </c>
      <c r="AB55" s="152">
        <v>22.624433517456055</v>
      </c>
      <c r="AC55" s="152">
        <v>12</v>
      </c>
      <c r="AD55" s="152">
        <v>3</v>
      </c>
      <c r="AE55" s="152">
        <v>189</v>
      </c>
      <c r="AF55" s="152">
        <v>17</v>
      </c>
      <c r="AG55" s="152">
        <v>5.4298644065856934</v>
      </c>
      <c r="AH55" s="152">
        <v>1.3574661016464233</v>
      </c>
      <c r="AI55" s="152">
        <v>85.520362854003906</v>
      </c>
      <c r="AJ55" s="152">
        <v>7.6923074722290039</v>
      </c>
      <c r="AK55" s="152">
        <v>53</v>
      </c>
      <c r="AL55" s="152">
        <v>21</v>
      </c>
      <c r="AM55" s="152">
        <v>23</v>
      </c>
      <c r="AN55" s="152">
        <v>18</v>
      </c>
      <c r="AO55" s="152">
        <v>59</v>
      </c>
      <c r="AP55" s="152">
        <v>47</v>
      </c>
      <c r="AQ55" s="152">
        <v>30.459770202636719</v>
      </c>
      <c r="AR55" s="152">
        <v>12.068965911865234</v>
      </c>
      <c r="AS55" s="152">
        <v>13.218390464782715</v>
      </c>
      <c r="AT55" s="152">
        <v>10.344827651977539</v>
      </c>
      <c r="AU55" s="152">
        <v>33.908046722412109</v>
      </c>
      <c r="AV55" s="152">
        <v>8</v>
      </c>
      <c r="AW55" s="152">
        <v>35</v>
      </c>
      <c r="AX55" s="152">
        <v>7</v>
      </c>
      <c r="AY55" s="152"/>
      <c r="AZ55" s="152">
        <v>2</v>
      </c>
      <c r="BA55" s="152">
        <v>169</v>
      </c>
      <c r="BB55" s="152">
        <v>15.384614944458008</v>
      </c>
      <c r="BC55" s="152">
        <v>67.307693481445313</v>
      </c>
      <c r="BD55" s="152">
        <v>13.461538314819336</v>
      </c>
      <c r="BE55" s="152"/>
      <c r="BF55" s="152">
        <v>3.846153736114502</v>
      </c>
    </row>
    <row r="56" spans="1:58" x14ac:dyDescent="0.3">
      <c r="A56" s="153" t="s">
        <v>474</v>
      </c>
      <c r="B56" s="153" t="s">
        <v>473</v>
      </c>
      <c r="C56" s="154">
        <v>71</v>
      </c>
      <c r="D56" s="154">
        <v>10</v>
      </c>
      <c r="E56" s="154">
        <v>8</v>
      </c>
      <c r="F56" s="154">
        <v>87.654319763183594</v>
      </c>
      <c r="G56" s="154">
        <v>12.34567928314209</v>
      </c>
      <c r="H56" s="154">
        <v>79</v>
      </c>
      <c r="I56" s="154">
        <v>4</v>
      </c>
      <c r="J56" s="154">
        <v>4</v>
      </c>
      <c r="K56" s="154"/>
      <c r="L56" s="154"/>
      <c r="M56" s="154">
        <v>2</v>
      </c>
      <c r="N56" s="154">
        <v>90.804595947265625</v>
      </c>
      <c r="O56" s="154">
        <v>4.5977010726928711</v>
      </c>
      <c r="P56" s="154">
        <v>4.5977010726928711</v>
      </c>
      <c r="Q56" s="154"/>
      <c r="R56" s="154"/>
      <c r="S56" s="154"/>
      <c r="T56" s="154">
        <v>9</v>
      </c>
      <c r="U56" s="154">
        <v>14</v>
      </c>
      <c r="V56" s="154">
        <v>30</v>
      </c>
      <c r="W56" s="154">
        <v>36</v>
      </c>
      <c r="X56" s="154"/>
      <c r="Y56" s="154">
        <v>10.112360000610352</v>
      </c>
      <c r="Z56" s="154">
        <v>15.730337142944336</v>
      </c>
      <c r="AA56" s="154">
        <v>33.707866668701172</v>
      </c>
      <c r="AB56" s="154">
        <v>40.449440002441406</v>
      </c>
      <c r="AC56" s="154"/>
      <c r="AD56" s="154">
        <v>1</v>
      </c>
      <c r="AE56" s="154">
        <v>48</v>
      </c>
      <c r="AF56" s="154">
        <v>40</v>
      </c>
      <c r="AG56" s="154"/>
      <c r="AH56" s="154">
        <v>1.1235954761505127</v>
      </c>
      <c r="AI56" s="154">
        <v>53.932582855224609</v>
      </c>
      <c r="AJ56" s="154">
        <v>44.943820953369141</v>
      </c>
      <c r="AK56" s="154">
        <v>6</v>
      </c>
      <c r="AL56" s="154">
        <v>2</v>
      </c>
      <c r="AM56" s="154">
        <v>11</v>
      </c>
      <c r="AN56" s="154">
        <v>13</v>
      </c>
      <c r="AO56" s="154">
        <v>43</v>
      </c>
      <c r="AP56" s="154">
        <v>14</v>
      </c>
      <c r="AQ56" s="154">
        <v>8</v>
      </c>
      <c r="AR56" s="154">
        <v>2.6666667461395264</v>
      </c>
      <c r="AS56" s="154">
        <v>14.666666984558105</v>
      </c>
      <c r="AT56" s="154">
        <v>17.333333969116211</v>
      </c>
      <c r="AU56" s="154">
        <v>57.333332061767578</v>
      </c>
      <c r="AV56" s="154">
        <v>20</v>
      </c>
      <c r="AW56" s="154">
        <v>19</v>
      </c>
      <c r="AX56" s="154">
        <v>15</v>
      </c>
      <c r="AY56" s="154">
        <v>21</v>
      </c>
      <c r="AZ56" s="154">
        <v>6</v>
      </c>
      <c r="BA56" s="154">
        <v>8</v>
      </c>
      <c r="BB56" s="154">
        <v>24.69135856628418</v>
      </c>
      <c r="BC56" s="154">
        <v>23.456790924072266</v>
      </c>
      <c r="BD56" s="154">
        <v>18.518518447875977</v>
      </c>
      <c r="BE56" s="154">
        <v>25.925926208496094</v>
      </c>
      <c r="BF56" s="154">
        <v>7.407407283782959</v>
      </c>
    </row>
    <row r="57" spans="1:58" x14ac:dyDescent="0.3">
      <c r="A57" s="151" t="s">
        <v>532</v>
      </c>
      <c r="B57" s="151" t="s">
        <v>531</v>
      </c>
      <c r="C57" s="152">
        <v>297</v>
      </c>
      <c r="D57" s="152">
        <v>26</v>
      </c>
      <c r="E57" s="152">
        <v>185</v>
      </c>
      <c r="F57" s="152">
        <v>91.950462341308594</v>
      </c>
      <c r="G57" s="152">
        <v>8.0495357513427734</v>
      </c>
      <c r="H57" s="152">
        <v>488</v>
      </c>
      <c r="I57" s="152">
        <v>2</v>
      </c>
      <c r="J57" s="152">
        <v>8</v>
      </c>
      <c r="K57" s="152">
        <v>3</v>
      </c>
      <c r="L57" s="152">
        <v>4</v>
      </c>
      <c r="M57" s="152">
        <v>3</v>
      </c>
      <c r="N57" s="152">
        <v>96.6336669921875</v>
      </c>
      <c r="O57" s="152">
        <v>0.39603960514068604</v>
      </c>
      <c r="P57" s="152">
        <v>1.5841584205627441</v>
      </c>
      <c r="Q57" s="152">
        <v>0.59405940771102905</v>
      </c>
      <c r="R57" s="152">
        <v>0.79207921028137207</v>
      </c>
      <c r="S57" s="152">
        <v>149</v>
      </c>
      <c r="T57" s="152">
        <v>129</v>
      </c>
      <c r="U57" s="152">
        <v>81</v>
      </c>
      <c r="V57" s="152">
        <v>90</v>
      </c>
      <c r="W57" s="152">
        <v>59</v>
      </c>
      <c r="X57" s="152">
        <v>29.330709457397461</v>
      </c>
      <c r="Y57" s="152">
        <v>25.393701553344727</v>
      </c>
      <c r="Z57" s="152">
        <v>15.944881439208984</v>
      </c>
      <c r="AA57" s="152">
        <v>17.716535568237305</v>
      </c>
      <c r="AB57" s="152">
        <v>11.61417293548584</v>
      </c>
      <c r="AC57" s="152">
        <v>43</v>
      </c>
      <c r="AD57" s="152">
        <v>13</v>
      </c>
      <c r="AE57" s="152">
        <v>301</v>
      </c>
      <c r="AF57" s="152">
        <v>151</v>
      </c>
      <c r="AG57" s="152">
        <v>8.4645671844482422</v>
      </c>
      <c r="AH57" s="152">
        <v>2.5590550899505615</v>
      </c>
      <c r="AI57" s="152">
        <v>59.251968383789063</v>
      </c>
      <c r="AJ57" s="152">
        <v>29.724409103393555</v>
      </c>
      <c r="AK57" s="152">
        <v>139</v>
      </c>
      <c r="AL57" s="152">
        <v>45</v>
      </c>
      <c r="AM57" s="152">
        <v>55</v>
      </c>
      <c r="AN57" s="152">
        <v>39</v>
      </c>
      <c r="AO57" s="152">
        <v>204</v>
      </c>
      <c r="AP57" s="152">
        <v>26</v>
      </c>
      <c r="AQ57" s="152">
        <v>28.838174819946289</v>
      </c>
      <c r="AR57" s="152">
        <v>9.3360996246337891</v>
      </c>
      <c r="AS57" s="152">
        <v>11.410788536071777</v>
      </c>
      <c r="AT57" s="152">
        <v>8.0912866592407227</v>
      </c>
      <c r="AU57" s="152">
        <v>42.323650360107422</v>
      </c>
      <c r="AV57" s="152">
        <v>108</v>
      </c>
      <c r="AW57" s="152">
        <v>165</v>
      </c>
      <c r="AX57" s="152">
        <v>116</v>
      </c>
      <c r="AY57" s="152">
        <v>64</v>
      </c>
      <c r="AZ57" s="152">
        <v>22</v>
      </c>
      <c r="BA57" s="152">
        <v>33</v>
      </c>
      <c r="BB57" s="152">
        <v>22.736841201782227</v>
      </c>
      <c r="BC57" s="152">
        <v>34.736843109130859</v>
      </c>
      <c r="BD57" s="152">
        <v>24.421052932739258</v>
      </c>
      <c r="BE57" s="152">
        <v>13.473684310913086</v>
      </c>
      <c r="BF57" s="152">
        <v>4.6315789222717285</v>
      </c>
    </row>
    <row r="58" spans="1:58" x14ac:dyDescent="0.3">
      <c r="A58" s="153" t="s">
        <v>429</v>
      </c>
      <c r="B58" s="153" t="s">
        <v>428</v>
      </c>
      <c r="C58" s="154">
        <v>263</v>
      </c>
      <c r="D58" s="154">
        <v>16</v>
      </c>
      <c r="E58" s="154">
        <v>58</v>
      </c>
      <c r="F58" s="154">
        <v>94.265235900878906</v>
      </c>
      <c r="G58" s="154">
        <v>5.734766960144043</v>
      </c>
      <c r="H58" s="154">
        <v>330</v>
      </c>
      <c r="I58" s="154">
        <v>3</v>
      </c>
      <c r="J58" s="154">
        <v>1</v>
      </c>
      <c r="K58" s="154"/>
      <c r="L58" s="154">
        <v>2</v>
      </c>
      <c r="M58" s="154">
        <v>1</v>
      </c>
      <c r="N58" s="154">
        <v>98.214286804199219</v>
      </c>
      <c r="O58" s="154">
        <v>0.8928571343421936</v>
      </c>
      <c r="P58" s="154">
        <v>0.2976190447807312</v>
      </c>
      <c r="Q58" s="154"/>
      <c r="R58" s="154">
        <v>0.5952380895614624</v>
      </c>
      <c r="S58" s="154">
        <v>110</v>
      </c>
      <c r="T58" s="154">
        <v>54</v>
      </c>
      <c r="U58" s="154">
        <v>69</v>
      </c>
      <c r="V58" s="154">
        <v>61</v>
      </c>
      <c r="W58" s="154">
        <v>43</v>
      </c>
      <c r="X58" s="154">
        <v>32.640949249267578</v>
      </c>
      <c r="Y58" s="154">
        <v>16.023738861083984</v>
      </c>
      <c r="Z58" s="154">
        <v>20.474777221679688</v>
      </c>
      <c r="AA58" s="154">
        <v>18.10089111328125</v>
      </c>
      <c r="AB58" s="154">
        <v>12.7596435546875</v>
      </c>
      <c r="AC58" s="154">
        <v>29</v>
      </c>
      <c r="AD58" s="154">
        <v>4</v>
      </c>
      <c r="AE58" s="154">
        <v>176</v>
      </c>
      <c r="AF58" s="154">
        <v>128</v>
      </c>
      <c r="AG58" s="154">
        <v>8.6053409576416016</v>
      </c>
      <c r="AH58" s="154">
        <v>1.1869436502456665</v>
      </c>
      <c r="AI58" s="154">
        <v>52.225521087646484</v>
      </c>
      <c r="AJ58" s="154">
        <v>37.982196807861328</v>
      </c>
      <c r="AK58" s="154">
        <v>69</v>
      </c>
      <c r="AL58" s="154">
        <v>24</v>
      </c>
      <c r="AM58" s="154">
        <v>30</v>
      </c>
      <c r="AN58" s="154">
        <v>36</v>
      </c>
      <c r="AO58" s="154">
        <v>165</v>
      </c>
      <c r="AP58" s="154">
        <v>13</v>
      </c>
      <c r="AQ58" s="154">
        <v>21.296297073364258</v>
      </c>
      <c r="AR58" s="154">
        <v>7.407407283782959</v>
      </c>
      <c r="AS58" s="154">
        <v>9.2592592239379883</v>
      </c>
      <c r="AT58" s="154">
        <v>11.111110687255859</v>
      </c>
      <c r="AU58" s="154">
        <v>50.925926208496094</v>
      </c>
      <c r="AV58" s="154">
        <v>103</v>
      </c>
      <c r="AW58" s="154">
        <v>73</v>
      </c>
      <c r="AX58" s="154">
        <v>47</v>
      </c>
      <c r="AY58" s="154">
        <v>57</v>
      </c>
      <c r="AZ58" s="154">
        <v>26</v>
      </c>
      <c r="BA58" s="154">
        <v>31</v>
      </c>
      <c r="BB58" s="154">
        <v>33.660129547119141</v>
      </c>
      <c r="BC58" s="154">
        <v>23.856208801269531</v>
      </c>
      <c r="BD58" s="154">
        <v>15.359477043151855</v>
      </c>
      <c r="BE58" s="154">
        <v>18.627450942993164</v>
      </c>
      <c r="BF58" s="154">
        <v>8.4967317581176758</v>
      </c>
    </row>
    <row r="59" spans="1:58" x14ac:dyDescent="0.3">
      <c r="A59" s="151" t="s">
        <v>339</v>
      </c>
      <c r="B59" s="151" t="s">
        <v>338</v>
      </c>
      <c r="C59" s="152">
        <v>87</v>
      </c>
      <c r="D59" s="152">
        <v>9</v>
      </c>
      <c r="E59" s="152">
        <v>17</v>
      </c>
      <c r="F59" s="152">
        <v>90.625</v>
      </c>
      <c r="G59" s="152">
        <v>9.375</v>
      </c>
      <c r="H59" s="152">
        <v>93</v>
      </c>
      <c r="I59" s="152">
        <v>4</v>
      </c>
      <c r="J59" s="152">
        <v>4</v>
      </c>
      <c r="K59" s="152">
        <v>9</v>
      </c>
      <c r="L59" s="152"/>
      <c r="M59" s="152">
        <v>3</v>
      </c>
      <c r="N59" s="152">
        <v>84.545455932617188</v>
      </c>
      <c r="O59" s="152">
        <v>3.6363637447357178</v>
      </c>
      <c r="P59" s="152">
        <v>3.6363637447357178</v>
      </c>
      <c r="Q59" s="152">
        <v>8.1818180084228516</v>
      </c>
      <c r="R59" s="152"/>
      <c r="S59" s="152">
        <v>11</v>
      </c>
      <c r="T59" s="152">
        <v>30</v>
      </c>
      <c r="U59" s="152">
        <v>15</v>
      </c>
      <c r="V59" s="152">
        <v>26</v>
      </c>
      <c r="W59" s="152">
        <v>31</v>
      </c>
      <c r="X59" s="152">
        <v>9.7345132827758789</v>
      </c>
      <c r="Y59" s="152">
        <v>26.548671722412109</v>
      </c>
      <c r="Z59" s="152">
        <v>13.274335861206055</v>
      </c>
      <c r="AA59" s="152">
        <v>23.00885009765625</v>
      </c>
      <c r="AB59" s="152">
        <v>27.433628082275391</v>
      </c>
      <c r="AC59" s="152">
        <v>13</v>
      </c>
      <c r="AD59" s="152">
        <v>2</v>
      </c>
      <c r="AE59" s="152">
        <v>59</v>
      </c>
      <c r="AF59" s="152">
        <v>39</v>
      </c>
      <c r="AG59" s="152">
        <v>11.504425048828125</v>
      </c>
      <c r="AH59" s="152">
        <v>1.769911527633667</v>
      </c>
      <c r="AI59" s="152">
        <v>52.212390899658203</v>
      </c>
      <c r="AJ59" s="152">
        <v>34.513275146484375</v>
      </c>
      <c r="AK59" s="152">
        <v>19</v>
      </c>
      <c r="AL59" s="152">
        <v>12</v>
      </c>
      <c r="AM59" s="152">
        <v>16</v>
      </c>
      <c r="AN59" s="152">
        <v>11</v>
      </c>
      <c r="AO59" s="152">
        <v>52</v>
      </c>
      <c r="AP59" s="152">
        <v>3</v>
      </c>
      <c r="AQ59" s="152">
        <v>17.272727966308594</v>
      </c>
      <c r="AR59" s="152">
        <v>10.909090995788574</v>
      </c>
      <c r="AS59" s="152">
        <v>14.545454978942871</v>
      </c>
      <c r="AT59" s="152">
        <v>10</v>
      </c>
      <c r="AU59" s="152">
        <v>47.272727966308594</v>
      </c>
      <c r="AV59" s="152">
        <v>39</v>
      </c>
      <c r="AW59" s="152">
        <v>16</v>
      </c>
      <c r="AX59" s="152">
        <v>16</v>
      </c>
      <c r="AY59" s="152">
        <v>25</v>
      </c>
      <c r="AZ59" s="152">
        <v>14</v>
      </c>
      <c r="BA59" s="152">
        <v>3</v>
      </c>
      <c r="BB59" s="152">
        <v>35.454544067382813</v>
      </c>
      <c r="BC59" s="152">
        <v>14.545454978942871</v>
      </c>
      <c r="BD59" s="152">
        <v>14.545454978942871</v>
      </c>
      <c r="BE59" s="152">
        <v>22.727272033691406</v>
      </c>
      <c r="BF59" s="152">
        <v>12.727272987365723</v>
      </c>
    </row>
    <row r="60" spans="1:58" x14ac:dyDescent="0.3">
      <c r="A60" s="153" t="s">
        <v>318</v>
      </c>
      <c r="B60" s="153" t="s">
        <v>317</v>
      </c>
      <c r="C60" s="154">
        <v>94</v>
      </c>
      <c r="D60" s="154">
        <v>10</v>
      </c>
      <c r="E60" s="154">
        <v>18</v>
      </c>
      <c r="F60" s="154">
        <v>90.384613037109375</v>
      </c>
      <c r="G60" s="154">
        <v>9.6153850555419922</v>
      </c>
      <c r="H60" s="154">
        <v>117</v>
      </c>
      <c r="I60" s="154">
        <v>2</v>
      </c>
      <c r="J60" s="154">
        <v>1</v>
      </c>
      <c r="K60" s="154">
        <v>1</v>
      </c>
      <c r="L60" s="154">
        <v>1</v>
      </c>
      <c r="M60" s="154"/>
      <c r="N60" s="154">
        <v>95.901641845703125</v>
      </c>
      <c r="O60" s="154">
        <v>1.6393442153930664</v>
      </c>
      <c r="P60" s="154">
        <v>0.8196721076965332</v>
      </c>
      <c r="Q60" s="154">
        <v>0.8196721076965332</v>
      </c>
      <c r="R60" s="154">
        <v>0.8196721076965332</v>
      </c>
      <c r="S60" s="154">
        <v>33</v>
      </c>
      <c r="T60" s="154">
        <v>23</v>
      </c>
      <c r="U60" s="154">
        <v>16</v>
      </c>
      <c r="V60" s="154">
        <v>17</v>
      </c>
      <c r="W60" s="154">
        <v>33</v>
      </c>
      <c r="X60" s="154">
        <v>27.04918098449707</v>
      </c>
      <c r="Y60" s="154">
        <v>18.852458953857422</v>
      </c>
      <c r="Z60" s="154">
        <v>13.114753723144531</v>
      </c>
      <c r="AA60" s="154">
        <v>13.934426307678223</v>
      </c>
      <c r="AB60" s="154">
        <v>27.04918098449707</v>
      </c>
      <c r="AC60" s="154">
        <v>7</v>
      </c>
      <c r="AD60" s="154"/>
      <c r="AE60" s="154">
        <v>69</v>
      </c>
      <c r="AF60" s="154">
        <v>46</v>
      </c>
      <c r="AG60" s="154">
        <v>5.7377047538757324</v>
      </c>
      <c r="AH60" s="154"/>
      <c r="AI60" s="154">
        <v>56.557376861572266</v>
      </c>
      <c r="AJ60" s="154">
        <v>37.704917907714844</v>
      </c>
      <c r="AK60" s="154">
        <v>32</v>
      </c>
      <c r="AL60" s="154">
        <v>7</v>
      </c>
      <c r="AM60" s="154">
        <v>17</v>
      </c>
      <c r="AN60" s="154">
        <v>13</v>
      </c>
      <c r="AO60" s="154">
        <v>50</v>
      </c>
      <c r="AP60" s="154">
        <v>3</v>
      </c>
      <c r="AQ60" s="154">
        <v>26.890756607055664</v>
      </c>
      <c r="AR60" s="154">
        <v>5.8823528289794922</v>
      </c>
      <c r="AS60" s="154">
        <v>14.285714149475098</v>
      </c>
      <c r="AT60" s="154">
        <v>10.924369812011719</v>
      </c>
      <c r="AU60" s="154">
        <v>42.016807556152344</v>
      </c>
      <c r="AV60" s="154">
        <v>24</v>
      </c>
      <c r="AW60" s="154">
        <v>29</v>
      </c>
      <c r="AX60" s="154">
        <v>15</v>
      </c>
      <c r="AY60" s="154">
        <v>35</v>
      </c>
      <c r="AZ60" s="154">
        <v>13</v>
      </c>
      <c r="BA60" s="154">
        <v>6</v>
      </c>
      <c r="BB60" s="154">
        <v>20.689655303955078</v>
      </c>
      <c r="BC60" s="154">
        <v>25</v>
      </c>
      <c r="BD60" s="154">
        <v>12.931034088134766</v>
      </c>
      <c r="BE60" s="154">
        <v>30.172412872314453</v>
      </c>
      <c r="BF60" s="154">
        <v>11.206896781921387</v>
      </c>
    </row>
    <row r="61" spans="1:58" x14ac:dyDescent="0.3">
      <c r="A61" s="151" t="s">
        <v>384</v>
      </c>
      <c r="B61" s="151" t="s">
        <v>383</v>
      </c>
      <c r="C61" s="152">
        <v>174</v>
      </c>
      <c r="D61" s="152">
        <v>31</v>
      </c>
      <c r="E61" s="152">
        <v>130</v>
      </c>
      <c r="F61" s="152">
        <v>84.8780517578125</v>
      </c>
      <c r="G61" s="152">
        <v>15.121951103210449</v>
      </c>
      <c r="H61" s="152">
        <v>259</v>
      </c>
      <c r="I61" s="152">
        <v>15</v>
      </c>
      <c r="J61" s="152">
        <v>13</v>
      </c>
      <c r="K61" s="152">
        <v>29</v>
      </c>
      <c r="L61" s="152">
        <v>15</v>
      </c>
      <c r="M61" s="152">
        <v>4</v>
      </c>
      <c r="N61" s="152">
        <v>78.247734069824219</v>
      </c>
      <c r="O61" s="152">
        <v>4.5317220687866211</v>
      </c>
      <c r="P61" s="152">
        <v>3.9274923801422119</v>
      </c>
      <c r="Q61" s="152">
        <v>8.7613296508789063</v>
      </c>
      <c r="R61" s="152">
        <v>4.5317220687866211</v>
      </c>
      <c r="S61" s="152">
        <v>62</v>
      </c>
      <c r="T61" s="152">
        <v>76</v>
      </c>
      <c r="U61" s="152">
        <v>41</v>
      </c>
      <c r="V61" s="152">
        <v>71</v>
      </c>
      <c r="W61" s="152">
        <v>85</v>
      </c>
      <c r="X61" s="152">
        <v>18.507463455200195</v>
      </c>
      <c r="Y61" s="152">
        <v>22.686567306518555</v>
      </c>
      <c r="Z61" s="152">
        <v>12.238805770874023</v>
      </c>
      <c r="AA61" s="152">
        <v>21.19403076171875</v>
      </c>
      <c r="AB61" s="152">
        <v>25.373134613037109</v>
      </c>
      <c r="AC61" s="152">
        <v>12</v>
      </c>
      <c r="AD61" s="152"/>
      <c r="AE61" s="152">
        <v>130</v>
      </c>
      <c r="AF61" s="152">
        <v>193</v>
      </c>
      <c r="AG61" s="152">
        <v>3.5820896625518799</v>
      </c>
      <c r="AH61" s="152"/>
      <c r="AI61" s="152">
        <v>38.80596923828125</v>
      </c>
      <c r="AJ61" s="152">
        <v>57.6119384765625</v>
      </c>
      <c r="AK61" s="152">
        <v>75</v>
      </c>
      <c r="AL61" s="152">
        <v>21</v>
      </c>
      <c r="AM61" s="152">
        <v>21</v>
      </c>
      <c r="AN61" s="152">
        <v>16</v>
      </c>
      <c r="AO61" s="152">
        <v>150</v>
      </c>
      <c r="AP61" s="152">
        <v>52</v>
      </c>
      <c r="AQ61" s="152">
        <v>26.501766204833984</v>
      </c>
      <c r="AR61" s="152">
        <v>7.420494556427002</v>
      </c>
      <c r="AS61" s="152">
        <v>7.420494556427002</v>
      </c>
      <c r="AT61" s="152">
        <v>5.6537103652954102</v>
      </c>
      <c r="AU61" s="152">
        <v>53.003532409667969</v>
      </c>
      <c r="AV61" s="152">
        <v>53</v>
      </c>
      <c r="AW61" s="152">
        <v>84</v>
      </c>
      <c r="AX61" s="152">
        <v>47</v>
      </c>
      <c r="AY61" s="152">
        <v>39</v>
      </c>
      <c r="AZ61" s="152">
        <v>17</v>
      </c>
      <c r="BA61" s="152">
        <v>95</v>
      </c>
      <c r="BB61" s="152">
        <v>22.083333969116211</v>
      </c>
      <c r="BC61" s="152">
        <v>35</v>
      </c>
      <c r="BD61" s="152">
        <v>19.583333969116211</v>
      </c>
      <c r="BE61" s="152">
        <v>16.25</v>
      </c>
      <c r="BF61" s="152">
        <v>7.0833334922790527</v>
      </c>
    </row>
    <row r="62" spans="1:58" x14ac:dyDescent="0.3">
      <c r="A62" s="153" t="s">
        <v>464</v>
      </c>
      <c r="B62" s="153" t="s">
        <v>463</v>
      </c>
      <c r="C62" s="154">
        <v>96</v>
      </c>
      <c r="D62" s="154">
        <v>6</v>
      </c>
      <c r="E62" s="154">
        <v>150</v>
      </c>
      <c r="F62" s="154">
        <v>94.117645263671875</v>
      </c>
      <c r="G62" s="154">
        <v>5.8823528289794922</v>
      </c>
      <c r="H62" s="154">
        <v>234</v>
      </c>
      <c r="I62" s="154">
        <v>3</v>
      </c>
      <c r="J62" s="154">
        <v>2</v>
      </c>
      <c r="K62" s="154">
        <v>2</v>
      </c>
      <c r="L62" s="154">
        <v>4</v>
      </c>
      <c r="M62" s="154">
        <v>7</v>
      </c>
      <c r="N62" s="154">
        <v>95.510200500488281</v>
      </c>
      <c r="O62" s="154">
        <v>1.2244898080825806</v>
      </c>
      <c r="P62" s="154">
        <v>0.8163265585899353</v>
      </c>
      <c r="Q62" s="154">
        <v>0.8163265585899353</v>
      </c>
      <c r="R62" s="154">
        <v>1.6326531171798706</v>
      </c>
      <c r="S62" s="154">
        <v>89</v>
      </c>
      <c r="T62" s="154">
        <v>65</v>
      </c>
      <c r="U62" s="154">
        <v>61</v>
      </c>
      <c r="V62" s="154">
        <v>30</v>
      </c>
      <c r="W62" s="154">
        <v>7</v>
      </c>
      <c r="X62" s="154">
        <v>35.317459106445313</v>
      </c>
      <c r="Y62" s="154">
        <v>25.793651580810547</v>
      </c>
      <c r="Z62" s="154">
        <v>24.206348419189453</v>
      </c>
      <c r="AA62" s="154">
        <v>11.904762268066406</v>
      </c>
      <c r="AB62" s="154">
        <v>2.7777776718139648</v>
      </c>
      <c r="AC62" s="154">
        <v>19</v>
      </c>
      <c r="AD62" s="154">
        <v>2</v>
      </c>
      <c r="AE62" s="154">
        <v>131</v>
      </c>
      <c r="AF62" s="154">
        <v>100</v>
      </c>
      <c r="AG62" s="154">
        <v>7.5396823883056641</v>
      </c>
      <c r="AH62" s="154">
        <v>0.79365080595016479</v>
      </c>
      <c r="AI62" s="154">
        <v>51.984127044677734</v>
      </c>
      <c r="AJ62" s="154">
        <v>39.682540893554688</v>
      </c>
      <c r="AK62" s="154">
        <v>34</v>
      </c>
      <c r="AL62" s="154">
        <v>22</v>
      </c>
      <c r="AM62" s="154">
        <v>30</v>
      </c>
      <c r="AN62" s="154">
        <v>16</v>
      </c>
      <c r="AO62" s="154">
        <v>144</v>
      </c>
      <c r="AP62" s="154">
        <v>6</v>
      </c>
      <c r="AQ62" s="154">
        <v>13.821138381958008</v>
      </c>
      <c r="AR62" s="154">
        <v>8.943089485168457</v>
      </c>
      <c r="AS62" s="154">
        <v>12.195121765136719</v>
      </c>
      <c r="AT62" s="154">
        <v>6.5040650367736816</v>
      </c>
      <c r="AU62" s="154">
        <v>58.536586761474609</v>
      </c>
      <c r="AV62" s="154">
        <v>61</v>
      </c>
      <c r="AW62" s="154">
        <v>42</v>
      </c>
      <c r="AX62" s="154">
        <v>33</v>
      </c>
      <c r="AY62" s="154">
        <v>65</v>
      </c>
      <c r="AZ62" s="154">
        <v>16</v>
      </c>
      <c r="BA62" s="154">
        <v>35</v>
      </c>
      <c r="BB62" s="154">
        <v>28.110599517822266</v>
      </c>
      <c r="BC62" s="154">
        <v>19.354839324951172</v>
      </c>
      <c r="BD62" s="154">
        <v>15.20737361907959</v>
      </c>
      <c r="BE62" s="154">
        <v>29.953916549682617</v>
      </c>
      <c r="BF62" s="154">
        <v>7.3732719421386719</v>
      </c>
    </row>
    <row r="63" spans="1:58" x14ac:dyDescent="0.3">
      <c r="A63" s="151" t="s">
        <v>439</v>
      </c>
      <c r="B63" s="151" t="s">
        <v>438</v>
      </c>
      <c r="C63" s="152">
        <v>135</v>
      </c>
      <c r="D63" s="152">
        <v>11</v>
      </c>
      <c r="E63" s="152">
        <v>260</v>
      </c>
      <c r="F63" s="152">
        <v>92.465751647949219</v>
      </c>
      <c r="G63" s="152">
        <v>7.5342464447021484</v>
      </c>
      <c r="H63" s="152">
        <v>390</v>
      </c>
      <c r="I63" s="152">
        <v>3</v>
      </c>
      <c r="J63" s="152">
        <v>3</v>
      </c>
      <c r="K63" s="152">
        <v>1</v>
      </c>
      <c r="L63" s="152">
        <v>5</v>
      </c>
      <c r="M63" s="152">
        <v>4</v>
      </c>
      <c r="N63" s="152">
        <v>97.014923095703125</v>
      </c>
      <c r="O63" s="152">
        <v>0.746268630027771</v>
      </c>
      <c r="P63" s="152">
        <v>0.746268630027771</v>
      </c>
      <c r="Q63" s="152">
        <v>0.24875621497631073</v>
      </c>
      <c r="R63" s="152">
        <v>1.2437810897827148</v>
      </c>
      <c r="S63" s="152">
        <v>91</v>
      </c>
      <c r="T63" s="152">
        <v>122</v>
      </c>
      <c r="U63" s="152">
        <v>86</v>
      </c>
      <c r="V63" s="152">
        <v>66</v>
      </c>
      <c r="W63" s="152">
        <v>41</v>
      </c>
      <c r="X63" s="152">
        <v>22.413793563842773</v>
      </c>
      <c r="Y63" s="152">
        <v>30.049261093139648</v>
      </c>
      <c r="Z63" s="152">
        <v>21.182266235351563</v>
      </c>
      <c r="AA63" s="152">
        <v>16.256156921386719</v>
      </c>
      <c r="AB63" s="152">
        <v>10.098522186279297</v>
      </c>
      <c r="AC63" s="152">
        <v>24</v>
      </c>
      <c r="AD63" s="152">
        <v>5</v>
      </c>
      <c r="AE63" s="152">
        <v>214</v>
      </c>
      <c r="AF63" s="152">
        <v>163</v>
      </c>
      <c r="AG63" s="152">
        <v>5.9113302230834961</v>
      </c>
      <c r="AH63" s="152">
        <v>1.2315270900726318</v>
      </c>
      <c r="AI63" s="152">
        <v>52.709358215332031</v>
      </c>
      <c r="AJ63" s="152">
        <v>40.147781372070313</v>
      </c>
      <c r="AK63" s="152">
        <v>113</v>
      </c>
      <c r="AL63" s="152">
        <v>31</v>
      </c>
      <c r="AM63" s="152">
        <v>27</v>
      </c>
      <c r="AN63" s="152">
        <v>17</v>
      </c>
      <c r="AO63" s="152">
        <v>151</v>
      </c>
      <c r="AP63" s="152">
        <v>67</v>
      </c>
      <c r="AQ63" s="152">
        <v>33.333332061767578</v>
      </c>
      <c r="AR63" s="152">
        <v>9.1445426940917969</v>
      </c>
      <c r="AS63" s="152">
        <v>7.964601993560791</v>
      </c>
      <c r="AT63" s="152">
        <v>5.0147490501403809</v>
      </c>
      <c r="AU63" s="152">
        <v>44.542774200439453</v>
      </c>
      <c r="AV63" s="152">
        <v>76</v>
      </c>
      <c r="AW63" s="152">
        <v>114</v>
      </c>
      <c r="AX63" s="152">
        <v>73</v>
      </c>
      <c r="AY63" s="152">
        <v>89</v>
      </c>
      <c r="AZ63" s="152">
        <v>14</v>
      </c>
      <c r="BA63" s="152">
        <v>40</v>
      </c>
      <c r="BB63" s="152">
        <v>20.76502799987793</v>
      </c>
      <c r="BC63" s="152">
        <v>31.147541046142578</v>
      </c>
      <c r="BD63" s="152">
        <v>19.945354461669922</v>
      </c>
      <c r="BE63" s="152">
        <v>24.316940307617188</v>
      </c>
      <c r="BF63" s="152">
        <v>3.825136661529541</v>
      </c>
    </row>
    <row r="64" spans="1:58" x14ac:dyDescent="0.3">
      <c r="A64" s="153" t="s">
        <v>522</v>
      </c>
      <c r="B64" s="153" t="s">
        <v>521</v>
      </c>
      <c r="C64" s="154">
        <v>281</v>
      </c>
      <c r="D64" s="154">
        <v>44</v>
      </c>
      <c r="E64" s="154">
        <v>33</v>
      </c>
      <c r="F64" s="154">
        <v>86.461540222167969</v>
      </c>
      <c r="G64" s="154">
        <v>13.538461685180664</v>
      </c>
      <c r="H64" s="154">
        <v>324</v>
      </c>
      <c r="I64" s="154">
        <v>4</v>
      </c>
      <c r="J64" s="154">
        <v>12</v>
      </c>
      <c r="K64" s="154">
        <v>8</v>
      </c>
      <c r="L64" s="154">
        <v>5</v>
      </c>
      <c r="M64" s="154">
        <v>5</v>
      </c>
      <c r="N64" s="154">
        <v>91.784706115722656</v>
      </c>
      <c r="O64" s="154">
        <v>1.1331444978713989</v>
      </c>
      <c r="P64" s="154">
        <v>3.3994333744049072</v>
      </c>
      <c r="Q64" s="154">
        <v>2.2662889957427979</v>
      </c>
      <c r="R64" s="154">
        <v>1.4164305925369263</v>
      </c>
      <c r="S64" s="154">
        <v>71</v>
      </c>
      <c r="T64" s="154">
        <v>89</v>
      </c>
      <c r="U64" s="154">
        <v>82</v>
      </c>
      <c r="V64" s="154">
        <v>74</v>
      </c>
      <c r="W64" s="154">
        <v>42</v>
      </c>
      <c r="X64" s="154">
        <v>19.832403182983398</v>
      </c>
      <c r="Y64" s="154">
        <v>24.860334396362305</v>
      </c>
      <c r="Z64" s="154">
        <v>22.905027389526367</v>
      </c>
      <c r="AA64" s="154">
        <v>20.670391082763672</v>
      </c>
      <c r="AB64" s="154">
        <v>11.731843948364258</v>
      </c>
      <c r="AC64" s="154">
        <v>18</v>
      </c>
      <c r="AD64" s="154">
        <v>15</v>
      </c>
      <c r="AE64" s="154">
        <v>222</v>
      </c>
      <c r="AF64" s="154">
        <v>103</v>
      </c>
      <c r="AG64" s="154">
        <v>5.0279331207275391</v>
      </c>
      <c r="AH64" s="154">
        <v>4.1899442672729492</v>
      </c>
      <c r="AI64" s="154">
        <v>62.011173248291016</v>
      </c>
      <c r="AJ64" s="154">
        <v>28.770950317382813</v>
      </c>
      <c r="AK64" s="154">
        <v>97</v>
      </c>
      <c r="AL64" s="154">
        <v>23</v>
      </c>
      <c r="AM64" s="154">
        <v>43</v>
      </c>
      <c r="AN64" s="154">
        <v>31</v>
      </c>
      <c r="AO64" s="154">
        <v>151</v>
      </c>
      <c r="AP64" s="154">
        <v>13</v>
      </c>
      <c r="AQ64" s="154">
        <v>28.115942001342773</v>
      </c>
      <c r="AR64" s="154">
        <v>6.6666665077209473</v>
      </c>
      <c r="AS64" s="154">
        <v>12.463768005371094</v>
      </c>
      <c r="AT64" s="154">
        <v>8.9855070114135742</v>
      </c>
      <c r="AU64" s="154">
        <v>43.768115997314453</v>
      </c>
      <c r="AV64" s="154">
        <v>74</v>
      </c>
      <c r="AW64" s="154">
        <v>109</v>
      </c>
      <c r="AX64" s="154">
        <v>53</v>
      </c>
      <c r="AY64" s="154">
        <v>85</v>
      </c>
      <c r="AZ64" s="154">
        <v>18</v>
      </c>
      <c r="BA64" s="154">
        <v>19</v>
      </c>
      <c r="BB64" s="154">
        <v>21.828908920288086</v>
      </c>
      <c r="BC64" s="154">
        <v>32.153392791748047</v>
      </c>
      <c r="BD64" s="154">
        <v>15.634218215942383</v>
      </c>
      <c r="BE64" s="154">
        <v>25.073745727539063</v>
      </c>
      <c r="BF64" s="154">
        <v>5.3097343444824219</v>
      </c>
    </row>
    <row r="65" spans="1:58" x14ac:dyDescent="0.3">
      <c r="A65" s="151" t="s">
        <v>508</v>
      </c>
      <c r="B65" s="151" t="s">
        <v>507</v>
      </c>
      <c r="C65" s="152">
        <v>63</v>
      </c>
      <c r="D65" s="152">
        <v>7</v>
      </c>
      <c r="E65" s="152">
        <v>13</v>
      </c>
      <c r="F65" s="152">
        <v>90</v>
      </c>
      <c r="G65" s="152">
        <v>10</v>
      </c>
      <c r="H65" s="152">
        <v>55</v>
      </c>
      <c r="I65" s="152">
        <v>5</v>
      </c>
      <c r="J65" s="152">
        <v>6</v>
      </c>
      <c r="K65" s="152">
        <v>6</v>
      </c>
      <c r="L65" s="152">
        <v>7</v>
      </c>
      <c r="M65" s="152">
        <v>4</v>
      </c>
      <c r="N65" s="152">
        <v>69.620254516601563</v>
      </c>
      <c r="O65" s="152">
        <v>6.3291139602661133</v>
      </c>
      <c r="P65" s="152">
        <v>7.5949368476867676</v>
      </c>
      <c r="Q65" s="152">
        <v>7.5949368476867676</v>
      </c>
      <c r="R65" s="152">
        <v>8.8607597351074219</v>
      </c>
      <c r="S65" s="152">
        <v>21</v>
      </c>
      <c r="T65" s="152">
        <v>28</v>
      </c>
      <c r="U65" s="152">
        <v>17</v>
      </c>
      <c r="V65" s="152">
        <v>14</v>
      </c>
      <c r="W65" s="152">
        <v>3</v>
      </c>
      <c r="X65" s="152">
        <v>25.301204681396484</v>
      </c>
      <c r="Y65" s="152">
        <v>33.734939575195313</v>
      </c>
      <c r="Z65" s="152">
        <v>20.481927871704102</v>
      </c>
      <c r="AA65" s="152">
        <v>16.867469787597656</v>
      </c>
      <c r="AB65" s="152">
        <v>3.6144578456878662</v>
      </c>
      <c r="AC65" s="152">
        <v>7</v>
      </c>
      <c r="AD65" s="152">
        <v>2</v>
      </c>
      <c r="AE65" s="152">
        <v>68</v>
      </c>
      <c r="AF65" s="152">
        <v>6</v>
      </c>
      <c r="AG65" s="152">
        <v>8.4337348937988281</v>
      </c>
      <c r="AH65" s="152">
        <v>2.4096386432647705</v>
      </c>
      <c r="AI65" s="152">
        <v>81.927711486816406</v>
      </c>
      <c r="AJ65" s="152">
        <v>7.2289156913757324</v>
      </c>
      <c r="AK65" s="152">
        <v>21</v>
      </c>
      <c r="AL65" s="152">
        <v>5</v>
      </c>
      <c r="AM65" s="152">
        <v>10</v>
      </c>
      <c r="AN65" s="152">
        <v>4</v>
      </c>
      <c r="AO65" s="152">
        <v>41</v>
      </c>
      <c r="AP65" s="152">
        <v>2</v>
      </c>
      <c r="AQ65" s="152">
        <v>25.925926208496094</v>
      </c>
      <c r="AR65" s="152">
        <v>6.1728396415710449</v>
      </c>
      <c r="AS65" s="152">
        <v>12.34567928314209</v>
      </c>
      <c r="AT65" s="152">
        <v>4.9382715225219727</v>
      </c>
      <c r="AU65" s="152">
        <v>50.617282867431641</v>
      </c>
      <c r="AV65" s="152">
        <v>9</v>
      </c>
      <c r="AW65" s="152">
        <v>38</v>
      </c>
      <c r="AX65" s="152">
        <v>11</v>
      </c>
      <c r="AY65" s="152">
        <v>11</v>
      </c>
      <c r="AZ65" s="152">
        <v>3</v>
      </c>
      <c r="BA65" s="152">
        <v>11</v>
      </c>
      <c r="BB65" s="152">
        <v>12.5</v>
      </c>
      <c r="BC65" s="152">
        <v>52.777778625488281</v>
      </c>
      <c r="BD65" s="152">
        <v>15.277777671813965</v>
      </c>
      <c r="BE65" s="152">
        <v>15.277777671813965</v>
      </c>
      <c r="BF65" s="152">
        <v>4.1666665077209473</v>
      </c>
    </row>
    <row r="66" spans="1:58" x14ac:dyDescent="0.3">
      <c r="A66" s="153" t="s">
        <v>506</v>
      </c>
      <c r="B66" s="153" t="s">
        <v>505</v>
      </c>
      <c r="C66" s="154">
        <v>118</v>
      </c>
      <c r="D66" s="154">
        <v>15</v>
      </c>
      <c r="E66" s="154">
        <v>116</v>
      </c>
      <c r="F66" s="154">
        <v>88.7218017578125</v>
      </c>
      <c r="G66" s="154">
        <v>11.278195381164551</v>
      </c>
      <c r="H66" s="154">
        <v>219</v>
      </c>
      <c r="I66" s="154">
        <v>6</v>
      </c>
      <c r="J66" s="154">
        <v>13</v>
      </c>
      <c r="K66" s="154">
        <v>2</v>
      </c>
      <c r="L66" s="154">
        <v>1</v>
      </c>
      <c r="M66" s="154">
        <v>8</v>
      </c>
      <c r="N66" s="154">
        <v>90.871368408203125</v>
      </c>
      <c r="O66" s="154">
        <v>2.4896266460418701</v>
      </c>
      <c r="P66" s="154">
        <v>5.394190788269043</v>
      </c>
      <c r="Q66" s="154">
        <v>0.82987552881240845</v>
      </c>
      <c r="R66" s="154">
        <v>0.41493776440620422</v>
      </c>
      <c r="S66" s="154">
        <v>87</v>
      </c>
      <c r="T66" s="154">
        <v>53</v>
      </c>
      <c r="U66" s="154">
        <v>45</v>
      </c>
      <c r="V66" s="154">
        <v>47</v>
      </c>
      <c r="W66" s="154">
        <v>17</v>
      </c>
      <c r="X66" s="154">
        <v>34.93975830078125</v>
      </c>
      <c r="Y66" s="154">
        <v>21.285140991210938</v>
      </c>
      <c r="Z66" s="154">
        <v>18.072288513183594</v>
      </c>
      <c r="AA66" s="154">
        <v>18.87550163269043</v>
      </c>
      <c r="AB66" s="154">
        <v>6.8273091316223145</v>
      </c>
      <c r="AC66" s="154">
        <v>14</v>
      </c>
      <c r="AD66" s="154">
        <v>2</v>
      </c>
      <c r="AE66" s="154">
        <v>138</v>
      </c>
      <c r="AF66" s="154">
        <v>95</v>
      </c>
      <c r="AG66" s="154">
        <v>5.6224899291992188</v>
      </c>
      <c r="AH66" s="154">
        <v>0.80321288108825684</v>
      </c>
      <c r="AI66" s="154">
        <v>55.421688079833984</v>
      </c>
      <c r="AJ66" s="154">
        <v>38.152610778808594</v>
      </c>
      <c r="AK66" s="154">
        <v>40</v>
      </c>
      <c r="AL66" s="154">
        <v>19</v>
      </c>
      <c r="AM66" s="154">
        <v>15</v>
      </c>
      <c r="AN66" s="154">
        <v>26</v>
      </c>
      <c r="AO66" s="154">
        <v>109</v>
      </c>
      <c r="AP66" s="154">
        <v>40</v>
      </c>
      <c r="AQ66" s="154">
        <v>19.138755798339844</v>
      </c>
      <c r="AR66" s="154">
        <v>9.0909090042114258</v>
      </c>
      <c r="AS66" s="154">
        <v>7.1770334243774414</v>
      </c>
      <c r="AT66" s="154">
        <v>12.440191268920898</v>
      </c>
      <c r="AU66" s="154">
        <v>52.153110504150391</v>
      </c>
      <c r="AV66" s="154">
        <v>19</v>
      </c>
      <c r="AW66" s="154">
        <v>62</v>
      </c>
      <c r="AX66" s="154">
        <v>61</v>
      </c>
      <c r="AY66" s="154">
        <v>35</v>
      </c>
      <c r="AZ66" s="154">
        <v>20</v>
      </c>
      <c r="BA66" s="154">
        <v>52</v>
      </c>
      <c r="BB66" s="154">
        <v>9.6446704864501953</v>
      </c>
      <c r="BC66" s="154">
        <v>31.472082138061523</v>
      </c>
      <c r="BD66" s="154">
        <v>30.964466094970703</v>
      </c>
      <c r="BE66" s="154">
        <v>17.766496658325195</v>
      </c>
      <c r="BF66" s="154">
        <v>10.152284622192383</v>
      </c>
    </row>
    <row r="67" spans="1:58" x14ac:dyDescent="0.3">
      <c r="A67" s="151" t="s">
        <v>550</v>
      </c>
      <c r="B67" s="151" t="s">
        <v>549</v>
      </c>
      <c r="C67" s="152">
        <v>91</v>
      </c>
      <c r="D67" s="152">
        <v>10</v>
      </c>
      <c r="E67" s="152">
        <v>18</v>
      </c>
      <c r="F67" s="152">
        <v>90.099006652832031</v>
      </c>
      <c r="G67" s="152">
        <v>9.9009904861450195</v>
      </c>
      <c r="H67" s="152">
        <v>93</v>
      </c>
      <c r="I67" s="152">
        <v>10</v>
      </c>
      <c r="J67" s="152">
        <v>6</v>
      </c>
      <c r="K67" s="152">
        <v>4</v>
      </c>
      <c r="L67" s="152">
        <v>1</v>
      </c>
      <c r="M67" s="152">
        <v>5</v>
      </c>
      <c r="N67" s="152">
        <v>81.578948974609375</v>
      </c>
      <c r="O67" s="152">
        <v>8.7719297409057617</v>
      </c>
      <c r="P67" s="152">
        <v>5.263157844543457</v>
      </c>
      <c r="Q67" s="152">
        <v>3.5087718963623047</v>
      </c>
      <c r="R67" s="152">
        <v>0.87719297409057617</v>
      </c>
      <c r="S67" s="152">
        <v>11</v>
      </c>
      <c r="T67" s="152">
        <v>25</v>
      </c>
      <c r="U67" s="152">
        <v>45</v>
      </c>
      <c r="V67" s="152">
        <v>30</v>
      </c>
      <c r="W67" s="152">
        <v>8</v>
      </c>
      <c r="X67" s="152">
        <v>9.2436971664428711</v>
      </c>
      <c r="Y67" s="152">
        <v>21.008403778076172</v>
      </c>
      <c r="Z67" s="152">
        <v>37.81512451171875</v>
      </c>
      <c r="AA67" s="152">
        <v>25.210084915161133</v>
      </c>
      <c r="AB67" s="152">
        <v>6.722689151763916</v>
      </c>
      <c r="AC67" s="152">
        <v>9</v>
      </c>
      <c r="AD67" s="152"/>
      <c r="AE67" s="152">
        <v>65</v>
      </c>
      <c r="AF67" s="152">
        <v>45</v>
      </c>
      <c r="AG67" s="152">
        <v>7.5630249977111816</v>
      </c>
      <c r="AH67" s="152"/>
      <c r="AI67" s="152">
        <v>54.621849060058594</v>
      </c>
      <c r="AJ67" s="152">
        <v>37.81512451171875</v>
      </c>
      <c r="AK67" s="152">
        <v>15</v>
      </c>
      <c r="AL67" s="152">
        <v>6</v>
      </c>
      <c r="AM67" s="152">
        <v>14</v>
      </c>
      <c r="AN67" s="152">
        <v>9</v>
      </c>
      <c r="AO67" s="152">
        <v>67</v>
      </c>
      <c r="AP67" s="152">
        <v>8</v>
      </c>
      <c r="AQ67" s="152">
        <v>13.513513565063477</v>
      </c>
      <c r="AR67" s="152">
        <v>5.4054055213928223</v>
      </c>
      <c r="AS67" s="152">
        <v>12.612612724304199</v>
      </c>
      <c r="AT67" s="152">
        <v>8.1081085205078125</v>
      </c>
      <c r="AU67" s="152">
        <v>60.360359191894531</v>
      </c>
      <c r="AV67" s="152">
        <v>26</v>
      </c>
      <c r="AW67" s="152">
        <v>32</v>
      </c>
      <c r="AX67" s="152">
        <v>19</v>
      </c>
      <c r="AY67" s="152">
        <v>26</v>
      </c>
      <c r="AZ67" s="152">
        <v>10</v>
      </c>
      <c r="BA67" s="152">
        <v>6</v>
      </c>
      <c r="BB67" s="152">
        <v>23.00885009765625</v>
      </c>
      <c r="BC67" s="152">
        <v>28.318584442138672</v>
      </c>
      <c r="BD67" s="152">
        <v>16.814159393310547</v>
      </c>
      <c r="BE67" s="152">
        <v>23.00885009765625</v>
      </c>
      <c r="BF67" s="152">
        <v>8.8495578765869141</v>
      </c>
    </row>
    <row r="68" spans="1:58" x14ac:dyDescent="0.3">
      <c r="A68" s="153" t="s">
        <v>356</v>
      </c>
      <c r="B68" s="153" t="s">
        <v>355</v>
      </c>
      <c r="C68" s="154">
        <v>44</v>
      </c>
      <c r="D68" s="154">
        <v>3</v>
      </c>
      <c r="E68" s="154">
        <v>52</v>
      </c>
      <c r="F68" s="154">
        <v>93.617019653320313</v>
      </c>
      <c r="G68" s="154">
        <v>6.3829789161682129</v>
      </c>
      <c r="H68" s="154">
        <v>83</v>
      </c>
      <c r="I68" s="154">
        <v>5</v>
      </c>
      <c r="J68" s="154">
        <v>4</v>
      </c>
      <c r="K68" s="154">
        <v>2</v>
      </c>
      <c r="L68" s="154">
        <v>1</v>
      </c>
      <c r="M68" s="154">
        <v>4</v>
      </c>
      <c r="N68" s="154">
        <v>87.368423461914063</v>
      </c>
      <c r="O68" s="154">
        <v>5.263157844543457</v>
      </c>
      <c r="P68" s="154">
        <v>4.2105264663696289</v>
      </c>
      <c r="Q68" s="154">
        <v>2.1052632331848145</v>
      </c>
      <c r="R68" s="154">
        <v>1.0526316165924072</v>
      </c>
      <c r="S68" s="154">
        <v>22</v>
      </c>
      <c r="T68" s="154">
        <v>33</v>
      </c>
      <c r="U68" s="154">
        <v>17</v>
      </c>
      <c r="V68" s="154">
        <v>20</v>
      </c>
      <c r="W68" s="154">
        <v>7</v>
      </c>
      <c r="X68" s="154">
        <v>22.222221374511719</v>
      </c>
      <c r="Y68" s="154">
        <v>33.333332061767578</v>
      </c>
      <c r="Z68" s="154">
        <v>17.171716690063477</v>
      </c>
      <c r="AA68" s="154">
        <v>20.202020645141602</v>
      </c>
      <c r="AB68" s="154">
        <v>7.070706844329834</v>
      </c>
      <c r="AC68" s="154">
        <v>14</v>
      </c>
      <c r="AD68" s="154">
        <v>1</v>
      </c>
      <c r="AE68" s="154">
        <v>44</v>
      </c>
      <c r="AF68" s="154">
        <v>40</v>
      </c>
      <c r="AG68" s="154">
        <v>14.141413688659668</v>
      </c>
      <c r="AH68" s="154">
        <v>1.0101009607315063</v>
      </c>
      <c r="AI68" s="154">
        <v>44.444442749023438</v>
      </c>
      <c r="AJ68" s="154">
        <v>40.404041290283203</v>
      </c>
      <c r="AK68" s="154">
        <v>7</v>
      </c>
      <c r="AL68" s="154">
        <v>3</v>
      </c>
      <c r="AM68" s="154">
        <v>5</v>
      </c>
      <c r="AN68" s="154">
        <v>10</v>
      </c>
      <c r="AO68" s="154">
        <v>62</v>
      </c>
      <c r="AP68" s="154">
        <v>12</v>
      </c>
      <c r="AQ68" s="154">
        <v>8.0459766387939453</v>
      </c>
      <c r="AR68" s="154">
        <v>3.4482758045196533</v>
      </c>
      <c r="AS68" s="154">
        <v>5.747126579284668</v>
      </c>
      <c r="AT68" s="154">
        <v>11.494253158569336</v>
      </c>
      <c r="AU68" s="154">
        <v>71.264366149902344</v>
      </c>
      <c r="AV68" s="154">
        <v>15</v>
      </c>
      <c r="AW68" s="154">
        <v>23</v>
      </c>
      <c r="AX68" s="154">
        <v>17</v>
      </c>
      <c r="AY68" s="154">
        <v>17</v>
      </c>
      <c r="AZ68" s="154">
        <v>17</v>
      </c>
      <c r="BA68" s="154">
        <v>10</v>
      </c>
      <c r="BB68" s="154">
        <v>16.853933334350586</v>
      </c>
      <c r="BC68" s="154">
        <v>25.842697143554688</v>
      </c>
      <c r="BD68" s="154">
        <v>19.101123809814453</v>
      </c>
      <c r="BE68" s="154">
        <v>19.101123809814453</v>
      </c>
      <c r="BF68" s="154">
        <v>19.101123809814453</v>
      </c>
    </row>
    <row r="69" spans="1:58" x14ac:dyDescent="0.3">
      <c r="A69" s="151" t="s">
        <v>414</v>
      </c>
      <c r="B69" s="151" t="s">
        <v>413</v>
      </c>
      <c r="C69" s="152">
        <v>151</v>
      </c>
      <c r="D69" s="152">
        <v>22</v>
      </c>
      <c r="E69" s="152">
        <v>204</v>
      </c>
      <c r="F69" s="152">
        <v>87.283233642578125</v>
      </c>
      <c r="G69" s="152">
        <v>12.716762542724609</v>
      </c>
      <c r="H69" s="152">
        <v>352</v>
      </c>
      <c r="I69" s="152">
        <v>2</v>
      </c>
      <c r="J69" s="152">
        <v>7</v>
      </c>
      <c r="K69" s="152">
        <v>4</v>
      </c>
      <c r="L69" s="152">
        <v>5</v>
      </c>
      <c r="M69" s="152">
        <v>7</v>
      </c>
      <c r="N69" s="152">
        <v>95.1351318359375</v>
      </c>
      <c r="O69" s="152">
        <v>0.54054051637649536</v>
      </c>
      <c r="P69" s="152">
        <v>1.8918918371200562</v>
      </c>
      <c r="Q69" s="152">
        <v>1.0810810327529907</v>
      </c>
      <c r="R69" s="152">
        <v>1.3513513803482056</v>
      </c>
      <c r="S69" s="152">
        <v>52</v>
      </c>
      <c r="T69" s="152">
        <v>77</v>
      </c>
      <c r="U69" s="152">
        <v>126</v>
      </c>
      <c r="V69" s="152">
        <v>73</v>
      </c>
      <c r="W69" s="152">
        <v>49</v>
      </c>
      <c r="X69" s="152">
        <v>13.793103218078613</v>
      </c>
      <c r="Y69" s="152">
        <v>20.424402236938477</v>
      </c>
      <c r="Z69" s="152">
        <v>33.421749114990234</v>
      </c>
      <c r="AA69" s="152">
        <v>19.363395690917969</v>
      </c>
      <c r="AB69" s="152">
        <v>12.997347831726074</v>
      </c>
      <c r="AC69" s="152">
        <v>20</v>
      </c>
      <c r="AD69" s="152">
        <v>7</v>
      </c>
      <c r="AE69" s="152">
        <v>209</v>
      </c>
      <c r="AF69" s="152">
        <v>141</v>
      </c>
      <c r="AG69" s="152">
        <v>5.3050398826599121</v>
      </c>
      <c r="AH69" s="152">
        <v>1.8567639589309692</v>
      </c>
      <c r="AI69" s="152">
        <v>55.437664031982422</v>
      </c>
      <c r="AJ69" s="152">
        <v>37.400531768798828</v>
      </c>
      <c r="AK69" s="152">
        <v>102</v>
      </c>
      <c r="AL69" s="152">
        <v>36</v>
      </c>
      <c r="AM69" s="152">
        <v>32</v>
      </c>
      <c r="AN69" s="152">
        <v>32</v>
      </c>
      <c r="AO69" s="152">
        <v>158</v>
      </c>
      <c r="AP69" s="152">
        <v>17</v>
      </c>
      <c r="AQ69" s="152">
        <v>28.333333969116211</v>
      </c>
      <c r="AR69" s="152">
        <v>10</v>
      </c>
      <c r="AS69" s="152">
        <v>8.8888893127441406</v>
      </c>
      <c r="AT69" s="152">
        <v>8.8888893127441406</v>
      </c>
      <c r="AU69" s="152">
        <v>43.888889312744141</v>
      </c>
      <c r="AV69" s="152">
        <v>82</v>
      </c>
      <c r="AW69" s="152">
        <v>103</v>
      </c>
      <c r="AX69" s="152">
        <v>68</v>
      </c>
      <c r="AY69" s="152">
        <v>62</v>
      </c>
      <c r="AZ69" s="152">
        <v>17</v>
      </c>
      <c r="BA69" s="152">
        <v>45</v>
      </c>
      <c r="BB69" s="152">
        <v>24.698795318603516</v>
      </c>
      <c r="BC69" s="152">
        <v>31.02409553527832</v>
      </c>
      <c r="BD69" s="152">
        <v>20.481927871704102</v>
      </c>
      <c r="BE69" s="152">
        <v>18.674697875976563</v>
      </c>
      <c r="BF69" s="152">
        <v>5.1204819679260254</v>
      </c>
    </row>
    <row r="70" spans="1:58" x14ac:dyDescent="0.3">
      <c r="A70" s="153" t="s">
        <v>456</v>
      </c>
      <c r="B70" s="153" t="s">
        <v>455</v>
      </c>
      <c r="C70" s="154">
        <v>698</v>
      </c>
      <c r="D70" s="154">
        <v>43</v>
      </c>
      <c r="E70" s="154">
        <v>51</v>
      </c>
      <c r="F70" s="154">
        <v>94.197029113769531</v>
      </c>
      <c r="G70" s="154">
        <v>5.8029689788818359</v>
      </c>
      <c r="H70" s="154">
        <v>683</v>
      </c>
      <c r="I70" s="154">
        <v>6</v>
      </c>
      <c r="J70" s="154">
        <v>18</v>
      </c>
      <c r="K70" s="154">
        <v>66</v>
      </c>
      <c r="L70" s="154">
        <v>7</v>
      </c>
      <c r="M70" s="154">
        <v>12</v>
      </c>
      <c r="N70" s="154">
        <v>87.564102172851563</v>
      </c>
      <c r="O70" s="154">
        <v>0.76923078298568726</v>
      </c>
      <c r="P70" s="154">
        <v>2.307692289352417</v>
      </c>
      <c r="Q70" s="154">
        <v>8.4615383148193359</v>
      </c>
      <c r="R70" s="154">
        <v>0.89743590354919434</v>
      </c>
      <c r="S70" s="154">
        <v>406</v>
      </c>
      <c r="T70" s="154">
        <v>166</v>
      </c>
      <c r="U70" s="154">
        <v>93</v>
      </c>
      <c r="V70" s="154">
        <v>78</v>
      </c>
      <c r="W70" s="154">
        <v>49</v>
      </c>
      <c r="X70" s="154">
        <v>51.262626647949219</v>
      </c>
      <c r="Y70" s="154">
        <v>20.959596633911133</v>
      </c>
      <c r="Z70" s="154">
        <v>11.742424011230469</v>
      </c>
      <c r="AA70" s="154">
        <v>9.848484992980957</v>
      </c>
      <c r="AB70" s="154">
        <v>6.1868686676025391</v>
      </c>
      <c r="AC70" s="154">
        <v>54</v>
      </c>
      <c r="AD70" s="154">
        <v>10</v>
      </c>
      <c r="AE70" s="154">
        <v>370</v>
      </c>
      <c r="AF70" s="154">
        <v>358</v>
      </c>
      <c r="AG70" s="154">
        <v>6.8181819915771484</v>
      </c>
      <c r="AH70" s="154">
        <v>1.2626262903213501</v>
      </c>
      <c r="AI70" s="154">
        <v>46.717170715332031</v>
      </c>
      <c r="AJ70" s="154">
        <v>45.202018737792969</v>
      </c>
      <c r="AK70" s="154">
        <v>192</v>
      </c>
      <c r="AL70" s="154">
        <v>55</v>
      </c>
      <c r="AM70" s="154">
        <v>98</v>
      </c>
      <c r="AN70" s="154">
        <v>58</v>
      </c>
      <c r="AO70" s="154">
        <v>351</v>
      </c>
      <c r="AP70" s="154">
        <v>38</v>
      </c>
      <c r="AQ70" s="154">
        <v>25.464191436767578</v>
      </c>
      <c r="AR70" s="154">
        <v>7.2944297790527344</v>
      </c>
      <c r="AS70" s="154">
        <v>12.997347831726074</v>
      </c>
      <c r="AT70" s="154">
        <v>7.6923074722290039</v>
      </c>
      <c r="AU70" s="154">
        <v>46.551723480224609</v>
      </c>
      <c r="AV70" s="154">
        <v>100</v>
      </c>
      <c r="AW70" s="154">
        <v>204</v>
      </c>
      <c r="AX70" s="154">
        <v>175</v>
      </c>
      <c r="AY70" s="154">
        <v>190</v>
      </c>
      <c r="AZ70" s="154">
        <v>88</v>
      </c>
      <c r="BA70" s="154">
        <v>35</v>
      </c>
      <c r="BB70" s="154">
        <v>13.210040092468262</v>
      </c>
      <c r="BC70" s="154">
        <v>26.948480606079102</v>
      </c>
      <c r="BD70" s="154">
        <v>23.117568969726563</v>
      </c>
      <c r="BE70" s="154">
        <v>25.099075317382813</v>
      </c>
      <c r="BF70" s="154">
        <v>11.624835014343262</v>
      </c>
    </row>
    <row r="71" spans="1:58" x14ac:dyDescent="0.3">
      <c r="A71" s="151" t="s">
        <v>293</v>
      </c>
      <c r="B71" s="151" t="s">
        <v>292</v>
      </c>
      <c r="C71" s="152">
        <v>64</v>
      </c>
      <c r="D71" s="152">
        <v>9</v>
      </c>
      <c r="E71" s="152">
        <v>151</v>
      </c>
      <c r="F71" s="152">
        <v>87.671234130859375</v>
      </c>
      <c r="G71" s="152">
        <v>12.328766822814941</v>
      </c>
      <c r="H71" s="152">
        <v>173</v>
      </c>
      <c r="I71" s="152">
        <v>4</v>
      </c>
      <c r="J71" s="152">
        <v>10</v>
      </c>
      <c r="K71" s="152">
        <v>23</v>
      </c>
      <c r="L71" s="152">
        <v>6</v>
      </c>
      <c r="M71" s="152">
        <v>8</v>
      </c>
      <c r="N71" s="152">
        <v>80.09259033203125</v>
      </c>
      <c r="O71" s="152">
        <v>1.8518518209457397</v>
      </c>
      <c r="P71" s="152">
        <v>4.6296296119689941</v>
      </c>
      <c r="Q71" s="152">
        <v>10.648148536682129</v>
      </c>
      <c r="R71" s="152">
        <v>2.7777776718139648</v>
      </c>
      <c r="S71" s="152">
        <v>117</v>
      </c>
      <c r="T71" s="152">
        <v>41</v>
      </c>
      <c r="U71" s="152">
        <v>22</v>
      </c>
      <c r="V71" s="152">
        <v>29</v>
      </c>
      <c r="W71" s="152">
        <v>15</v>
      </c>
      <c r="X71" s="152">
        <v>52.232143402099609</v>
      </c>
      <c r="Y71" s="152">
        <v>18.303571701049805</v>
      </c>
      <c r="Z71" s="152">
        <v>9.8214282989501953</v>
      </c>
      <c r="AA71" s="152">
        <v>12.946428298950195</v>
      </c>
      <c r="AB71" s="152">
        <v>6.6964287757873535</v>
      </c>
      <c r="AC71" s="152">
        <v>21</v>
      </c>
      <c r="AD71" s="152">
        <v>4</v>
      </c>
      <c r="AE71" s="152">
        <v>109</v>
      </c>
      <c r="AF71" s="152">
        <v>90</v>
      </c>
      <c r="AG71" s="152">
        <v>9.375</v>
      </c>
      <c r="AH71" s="152">
        <v>1.7857142686843872</v>
      </c>
      <c r="AI71" s="152">
        <v>48.660713195800781</v>
      </c>
      <c r="AJ71" s="152">
        <v>40.178569793701172</v>
      </c>
      <c r="AK71" s="152">
        <v>42</v>
      </c>
      <c r="AL71" s="152">
        <v>11</v>
      </c>
      <c r="AM71" s="152">
        <v>22</v>
      </c>
      <c r="AN71" s="152">
        <v>20</v>
      </c>
      <c r="AO71" s="152">
        <v>76</v>
      </c>
      <c r="AP71" s="152">
        <v>53</v>
      </c>
      <c r="AQ71" s="152">
        <v>24.561403274536133</v>
      </c>
      <c r="AR71" s="152">
        <v>6.4327483177185059</v>
      </c>
      <c r="AS71" s="152">
        <v>12.865496635437012</v>
      </c>
      <c r="AT71" s="152">
        <v>11.695906639099121</v>
      </c>
      <c r="AU71" s="152">
        <v>44.444442749023438</v>
      </c>
      <c r="AV71" s="152">
        <v>27</v>
      </c>
      <c r="AW71" s="152">
        <v>57</v>
      </c>
      <c r="AX71" s="152">
        <v>42</v>
      </c>
      <c r="AY71" s="152">
        <v>52</v>
      </c>
      <c r="AZ71" s="152">
        <v>17</v>
      </c>
      <c r="BA71" s="152">
        <v>29</v>
      </c>
      <c r="BB71" s="152">
        <v>13.84615421295166</v>
      </c>
      <c r="BC71" s="152">
        <v>29.230770111083984</v>
      </c>
      <c r="BD71" s="152">
        <v>21.538461685180664</v>
      </c>
      <c r="BE71" s="152">
        <v>26.666666030883789</v>
      </c>
      <c r="BF71" s="152">
        <v>8.7179489135742188</v>
      </c>
    </row>
    <row r="72" spans="1:58" x14ac:dyDescent="0.3">
      <c r="A72" s="153" t="s">
        <v>486</v>
      </c>
      <c r="B72" s="153" t="s">
        <v>485</v>
      </c>
      <c r="C72" s="154">
        <v>135</v>
      </c>
      <c r="D72" s="154">
        <v>8</v>
      </c>
      <c r="E72" s="154">
        <v>47</v>
      </c>
      <c r="F72" s="154">
        <v>94.405593872070313</v>
      </c>
      <c r="G72" s="154">
        <v>5.5944056510925293</v>
      </c>
      <c r="H72" s="154">
        <v>164</v>
      </c>
      <c r="I72" s="154">
        <v>3</v>
      </c>
      <c r="J72" s="154">
        <v>5</v>
      </c>
      <c r="K72" s="154">
        <v>17</v>
      </c>
      <c r="L72" s="154"/>
      <c r="M72" s="154">
        <v>1</v>
      </c>
      <c r="N72" s="154">
        <v>86.772483825683594</v>
      </c>
      <c r="O72" s="154">
        <v>1.5873016119003296</v>
      </c>
      <c r="P72" s="154">
        <v>2.6455025672912598</v>
      </c>
      <c r="Q72" s="154">
        <v>8.9947090148925781</v>
      </c>
      <c r="R72" s="154"/>
      <c r="S72" s="154">
        <v>84</v>
      </c>
      <c r="T72" s="154">
        <v>34</v>
      </c>
      <c r="U72" s="154">
        <v>36</v>
      </c>
      <c r="V72" s="154">
        <v>29</v>
      </c>
      <c r="W72" s="154">
        <v>7</v>
      </c>
      <c r="X72" s="154">
        <v>44.210525512695313</v>
      </c>
      <c r="Y72" s="154">
        <v>17.894737243652344</v>
      </c>
      <c r="Z72" s="154">
        <v>18.947368621826172</v>
      </c>
      <c r="AA72" s="154">
        <v>15.263157844543457</v>
      </c>
      <c r="AB72" s="154">
        <v>3.6842105388641357</v>
      </c>
      <c r="AC72" s="154">
        <v>25</v>
      </c>
      <c r="AD72" s="154">
        <v>4</v>
      </c>
      <c r="AE72" s="154">
        <v>106</v>
      </c>
      <c r="AF72" s="154">
        <v>55</v>
      </c>
      <c r="AG72" s="154">
        <v>13.157895088195801</v>
      </c>
      <c r="AH72" s="154">
        <v>2.1052632331848145</v>
      </c>
      <c r="AI72" s="154">
        <v>55.789474487304688</v>
      </c>
      <c r="AJ72" s="154">
        <v>28.947368621826172</v>
      </c>
      <c r="AK72" s="154">
        <v>31</v>
      </c>
      <c r="AL72" s="154">
        <v>11</v>
      </c>
      <c r="AM72" s="154">
        <v>21</v>
      </c>
      <c r="AN72" s="154">
        <v>24</v>
      </c>
      <c r="AO72" s="154">
        <v>73</v>
      </c>
      <c r="AP72" s="154">
        <v>30</v>
      </c>
      <c r="AQ72" s="154">
        <v>19.375</v>
      </c>
      <c r="AR72" s="154">
        <v>6.875</v>
      </c>
      <c r="AS72" s="154">
        <v>13.125</v>
      </c>
      <c r="AT72" s="154">
        <v>15</v>
      </c>
      <c r="AU72" s="154">
        <v>45.625</v>
      </c>
      <c r="AV72" s="154">
        <v>37</v>
      </c>
      <c r="AW72" s="154">
        <v>40</v>
      </c>
      <c r="AX72" s="154">
        <v>37</v>
      </c>
      <c r="AY72" s="154">
        <v>50</v>
      </c>
      <c r="AZ72" s="154">
        <v>8</v>
      </c>
      <c r="BA72" s="154">
        <v>18</v>
      </c>
      <c r="BB72" s="154">
        <v>21.511627197265625</v>
      </c>
      <c r="BC72" s="154">
        <v>23.255813598632813</v>
      </c>
      <c r="BD72" s="154">
        <v>21.511627197265625</v>
      </c>
      <c r="BE72" s="154">
        <v>29.069766998291016</v>
      </c>
      <c r="BF72" s="154">
        <v>4.6511626243591309</v>
      </c>
    </row>
    <row r="73" spans="1:58" x14ac:dyDescent="0.3">
      <c r="A73" s="151" t="s">
        <v>362</v>
      </c>
      <c r="B73" s="151" t="s">
        <v>361</v>
      </c>
      <c r="C73" s="152">
        <v>144</v>
      </c>
      <c r="D73" s="152">
        <v>7</v>
      </c>
      <c r="E73" s="152">
        <v>28</v>
      </c>
      <c r="F73" s="152">
        <v>95.364234924316406</v>
      </c>
      <c r="G73" s="152">
        <v>4.6357617378234863</v>
      </c>
      <c r="H73" s="152">
        <v>172</v>
      </c>
      <c r="I73" s="152"/>
      <c r="J73" s="152">
        <v>3</v>
      </c>
      <c r="K73" s="152">
        <v>1</v>
      </c>
      <c r="L73" s="152">
        <v>2</v>
      </c>
      <c r="M73" s="152">
        <v>1</v>
      </c>
      <c r="N73" s="152">
        <v>96.62921142578125</v>
      </c>
      <c r="O73" s="152"/>
      <c r="P73" s="152">
        <v>1.685393214225769</v>
      </c>
      <c r="Q73" s="152">
        <v>0.56179773807525635</v>
      </c>
      <c r="R73" s="152">
        <v>1.1235954761505127</v>
      </c>
      <c r="S73" s="152">
        <v>26</v>
      </c>
      <c r="T73" s="152">
        <v>30</v>
      </c>
      <c r="U73" s="152">
        <v>42</v>
      </c>
      <c r="V73" s="152">
        <v>57</v>
      </c>
      <c r="W73" s="152">
        <v>24</v>
      </c>
      <c r="X73" s="152">
        <v>14.525139808654785</v>
      </c>
      <c r="Y73" s="152">
        <v>16.759777069091797</v>
      </c>
      <c r="Z73" s="152">
        <v>23.463687896728516</v>
      </c>
      <c r="AA73" s="152">
        <v>31.843574523925781</v>
      </c>
      <c r="AB73" s="152">
        <v>13.407821655273438</v>
      </c>
      <c r="AC73" s="152">
        <v>12</v>
      </c>
      <c r="AD73" s="152">
        <v>1</v>
      </c>
      <c r="AE73" s="152">
        <v>93</v>
      </c>
      <c r="AF73" s="152">
        <v>73</v>
      </c>
      <c r="AG73" s="152">
        <v>6.7039108276367188</v>
      </c>
      <c r="AH73" s="152">
        <v>0.55865919589996338</v>
      </c>
      <c r="AI73" s="152">
        <v>51.955307006835938</v>
      </c>
      <c r="AJ73" s="152">
        <v>40.782123565673828</v>
      </c>
      <c r="AK73" s="152">
        <v>15</v>
      </c>
      <c r="AL73" s="152">
        <v>12</v>
      </c>
      <c r="AM73" s="152">
        <v>27</v>
      </c>
      <c r="AN73" s="152">
        <v>25</v>
      </c>
      <c r="AO73" s="152">
        <v>77</v>
      </c>
      <c r="AP73" s="152">
        <v>23</v>
      </c>
      <c r="AQ73" s="152">
        <v>9.6153850555419922</v>
      </c>
      <c r="AR73" s="152">
        <v>7.6923074722290039</v>
      </c>
      <c r="AS73" s="152">
        <v>17.30769157409668</v>
      </c>
      <c r="AT73" s="152">
        <v>16.025640487670898</v>
      </c>
      <c r="AU73" s="152">
        <v>49.358974456787109</v>
      </c>
      <c r="AV73" s="152">
        <v>30</v>
      </c>
      <c r="AW73" s="152">
        <v>42</v>
      </c>
      <c r="AX73" s="152">
        <v>33</v>
      </c>
      <c r="AY73" s="152">
        <v>47</v>
      </c>
      <c r="AZ73" s="152">
        <v>7</v>
      </c>
      <c r="BA73" s="152">
        <v>20</v>
      </c>
      <c r="BB73" s="152">
        <v>18.867923736572266</v>
      </c>
      <c r="BC73" s="152">
        <v>26.415094375610352</v>
      </c>
      <c r="BD73" s="152">
        <v>20.754716873168945</v>
      </c>
      <c r="BE73" s="152">
        <v>29.559747695922852</v>
      </c>
      <c r="BF73" s="152">
        <v>4.4025158882141113</v>
      </c>
    </row>
    <row r="74" spans="1:58" x14ac:dyDescent="0.3">
      <c r="A74" s="153" t="s">
        <v>367</v>
      </c>
      <c r="B74" s="153" t="s">
        <v>366</v>
      </c>
      <c r="C74" s="154">
        <v>170</v>
      </c>
      <c r="D74" s="154">
        <v>19</v>
      </c>
      <c r="E74" s="154">
        <v>89</v>
      </c>
      <c r="F74" s="154">
        <v>89.947090148925781</v>
      </c>
      <c r="G74" s="154">
        <v>10.052909851074219</v>
      </c>
      <c r="H74" s="154">
        <v>225</v>
      </c>
      <c r="I74" s="154">
        <v>12</v>
      </c>
      <c r="J74" s="154">
        <v>9</v>
      </c>
      <c r="K74" s="154">
        <v>2</v>
      </c>
      <c r="L74" s="154">
        <v>25</v>
      </c>
      <c r="M74" s="154">
        <v>5</v>
      </c>
      <c r="N74" s="154">
        <v>82.417579650878906</v>
      </c>
      <c r="O74" s="154">
        <v>4.3956046104431152</v>
      </c>
      <c r="P74" s="154">
        <v>3.2967033386230469</v>
      </c>
      <c r="Q74" s="154">
        <v>0.73260074853897095</v>
      </c>
      <c r="R74" s="154">
        <v>9.1575088500976563</v>
      </c>
      <c r="S74" s="154">
        <v>4</v>
      </c>
      <c r="T74" s="154">
        <v>45</v>
      </c>
      <c r="U74" s="154">
        <v>34</v>
      </c>
      <c r="V74" s="154">
        <v>79</v>
      </c>
      <c r="W74" s="154">
        <v>116</v>
      </c>
      <c r="X74" s="154">
        <v>1.4388489723205566</v>
      </c>
      <c r="Y74" s="154">
        <v>16.187049865722656</v>
      </c>
      <c r="Z74" s="154">
        <v>12.230216026306152</v>
      </c>
      <c r="AA74" s="154">
        <v>28.417266845703125</v>
      </c>
      <c r="AB74" s="154">
        <v>41.726619720458984</v>
      </c>
      <c r="AC74" s="154">
        <v>13</v>
      </c>
      <c r="AD74" s="154">
        <v>8</v>
      </c>
      <c r="AE74" s="154">
        <v>151</v>
      </c>
      <c r="AF74" s="154">
        <v>106</v>
      </c>
      <c r="AG74" s="154">
        <v>4.6762590408325195</v>
      </c>
      <c r="AH74" s="154">
        <v>2.8776979446411133</v>
      </c>
      <c r="AI74" s="154">
        <v>54.316547393798828</v>
      </c>
      <c r="AJ74" s="154">
        <v>38.129497528076172</v>
      </c>
      <c r="AK74" s="154">
        <v>53</v>
      </c>
      <c r="AL74" s="154">
        <v>23</v>
      </c>
      <c r="AM74" s="154">
        <v>37</v>
      </c>
      <c r="AN74" s="154">
        <v>37</v>
      </c>
      <c r="AO74" s="154">
        <v>111</v>
      </c>
      <c r="AP74" s="154">
        <v>17</v>
      </c>
      <c r="AQ74" s="154">
        <v>20.306512832641602</v>
      </c>
      <c r="AR74" s="154">
        <v>8.812260627746582</v>
      </c>
      <c r="AS74" s="154">
        <v>14.176244735717773</v>
      </c>
      <c r="AT74" s="154">
        <v>14.176244735717773</v>
      </c>
      <c r="AU74" s="154">
        <v>42.528736114501953</v>
      </c>
      <c r="AV74" s="154">
        <v>83</v>
      </c>
      <c r="AW74" s="154">
        <v>106</v>
      </c>
      <c r="AX74" s="154">
        <v>39</v>
      </c>
      <c r="AY74" s="154">
        <v>34</v>
      </c>
      <c r="AZ74" s="154">
        <v>3</v>
      </c>
      <c r="BA74" s="154">
        <v>13</v>
      </c>
      <c r="BB74" s="154">
        <v>31.320755004882813</v>
      </c>
      <c r="BC74" s="154">
        <v>40</v>
      </c>
      <c r="BD74" s="154">
        <v>14.716980934143066</v>
      </c>
      <c r="BE74" s="154">
        <v>12.830188751220703</v>
      </c>
      <c r="BF74" s="154">
        <v>1.1320754289627075</v>
      </c>
    </row>
    <row r="75" spans="1:58" x14ac:dyDescent="0.3">
      <c r="A75" s="151" t="s">
        <v>327</v>
      </c>
      <c r="B75" s="151" t="s">
        <v>326</v>
      </c>
      <c r="C75" s="152">
        <v>82</v>
      </c>
      <c r="D75" s="152">
        <v>10</v>
      </c>
      <c r="E75" s="152">
        <v>56</v>
      </c>
      <c r="F75" s="152">
        <v>89.13043212890625</v>
      </c>
      <c r="G75" s="152">
        <v>10.869565010070801</v>
      </c>
      <c r="H75" s="152">
        <v>137</v>
      </c>
      <c r="I75" s="152">
        <v>1</v>
      </c>
      <c r="J75" s="152">
        <v>1</v>
      </c>
      <c r="K75" s="152">
        <v>1</v>
      </c>
      <c r="L75" s="152">
        <v>3</v>
      </c>
      <c r="M75" s="152">
        <v>5</v>
      </c>
      <c r="N75" s="152">
        <v>95.80419921875</v>
      </c>
      <c r="O75" s="152">
        <v>0.69930070638656616</v>
      </c>
      <c r="P75" s="152">
        <v>0.69930070638656616</v>
      </c>
      <c r="Q75" s="152">
        <v>0.69930070638656616</v>
      </c>
      <c r="R75" s="152">
        <v>2.0979020595550537</v>
      </c>
      <c r="S75" s="152">
        <v>18</v>
      </c>
      <c r="T75" s="152">
        <v>36</v>
      </c>
      <c r="U75" s="152">
        <v>39</v>
      </c>
      <c r="V75" s="152">
        <v>31</v>
      </c>
      <c r="W75" s="152">
        <v>24</v>
      </c>
      <c r="X75" s="152">
        <v>12.162161827087402</v>
      </c>
      <c r="Y75" s="152">
        <v>24.324323654174805</v>
      </c>
      <c r="Z75" s="152">
        <v>26.351350784301758</v>
      </c>
      <c r="AA75" s="152">
        <v>20.945945739746094</v>
      </c>
      <c r="AB75" s="152">
        <v>16.216217041015625</v>
      </c>
      <c r="AC75" s="152">
        <v>15</v>
      </c>
      <c r="AD75" s="152">
        <v>2</v>
      </c>
      <c r="AE75" s="152">
        <v>121</v>
      </c>
      <c r="AF75" s="152">
        <v>10</v>
      </c>
      <c r="AG75" s="152">
        <v>10.135134696960449</v>
      </c>
      <c r="AH75" s="152">
        <v>1.3513513803482056</v>
      </c>
      <c r="AI75" s="152">
        <v>81.756759643554688</v>
      </c>
      <c r="AJ75" s="152">
        <v>6.7567567825317383</v>
      </c>
      <c r="AK75" s="152">
        <v>23</v>
      </c>
      <c r="AL75" s="152">
        <v>5</v>
      </c>
      <c r="AM75" s="152">
        <v>18</v>
      </c>
      <c r="AN75" s="152">
        <v>16</v>
      </c>
      <c r="AO75" s="152">
        <v>58</v>
      </c>
      <c r="AP75" s="152">
        <v>28</v>
      </c>
      <c r="AQ75" s="152">
        <v>19.166666030883789</v>
      </c>
      <c r="AR75" s="152">
        <v>4.1666665077209473</v>
      </c>
      <c r="AS75" s="152">
        <v>15</v>
      </c>
      <c r="AT75" s="152">
        <v>13.333333015441895</v>
      </c>
      <c r="AU75" s="152">
        <v>48.333332061767578</v>
      </c>
      <c r="AV75" s="152">
        <v>15</v>
      </c>
      <c r="AW75" s="152">
        <v>48</v>
      </c>
      <c r="AX75" s="152">
        <v>37</v>
      </c>
      <c r="AY75" s="152">
        <v>30</v>
      </c>
      <c r="AZ75" s="152">
        <v>8</v>
      </c>
      <c r="BA75" s="152">
        <v>10</v>
      </c>
      <c r="BB75" s="152">
        <v>10.869565010070801</v>
      </c>
      <c r="BC75" s="152">
        <v>34.782608032226563</v>
      </c>
      <c r="BD75" s="152">
        <v>26.811594009399414</v>
      </c>
      <c r="BE75" s="152">
        <v>21.739130020141602</v>
      </c>
      <c r="BF75" s="152">
        <v>5.7971014976501465</v>
      </c>
    </row>
    <row r="76" spans="1:58" x14ac:dyDescent="0.3">
      <c r="A76" s="153" t="s">
        <v>492</v>
      </c>
      <c r="B76" s="153" t="s">
        <v>491</v>
      </c>
      <c r="C76" s="154">
        <v>23</v>
      </c>
      <c r="D76" s="154">
        <v>2</v>
      </c>
      <c r="E76" s="154">
        <v>154</v>
      </c>
      <c r="F76" s="154">
        <v>92</v>
      </c>
      <c r="G76" s="154">
        <v>8</v>
      </c>
      <c r="H76" s="154">
        <v>165</v>
      </c>
      <c r="I76" s="154">
        <v>2</v>
      </c>
      <c r="J76" s="154">
        <v>3</v>
      </c>
      <c r="K76" s="154">
        <v>1</v>
      </c>
      <c r="L76" s="154"/>
      <c r="M76" s="154">
        <v>8</v>
      </c>
      <c r="N76" s="154">
        <v>96.491226196289063</v>
      </c>
      <c r="O76" s="154">
        <v>1.1695905923843384</v>
      </c>
      <c r="P76" s="154">
        <v>1.7543859481811523</v>
      </c>
      <c r="Q76" s="154">
        <v>0.58479529619216919</v>
      </c>
      <c r="R76" s="154"/>
      <c r="S76" s="154">
        <v>68</v>
      </c>
      <c r="T76" s="154">
        <v>38</v>
      </c>
      <c r="U76" s="154">
        <v>23</v>
      </c>
      <c r="V76" s="154">
        <v>28</v>
      </c>
      <c r="W76" s="154">
        <v>22</v>
      </c>
      <c r="X76" s="154">
        <v>37.988826751708984</v>
      </c>
      <c r="Y76" s="154">
        <v>21.229049682617188</v>
      </c>
      <c r="Z76" s="154">
        <v>12.849162101745605</v>
      </c>
      <c r="AA76" s="154">
        <v>15.642457962036133</v>
      </c>
      <c r="AB76" s="154">
        <v>12.290502548217773</v>
      </c>
      <c r="AC76" s="154">
        <v>24</v>
      </c>
      <c r="AD76" s="154">
        <v>4</v>
      </c>
      <c r="AE76" s="154">
        <v>83</v>
      </c>
      <c r="AF76" s="154">
        <v>68</v>
      </c>
      <c r="AG76" s="154">
        <v>13.407821655273438</v>
      </c>
      <c r="AH76" s="154">
        <v>2.2346367835998535</v>
      </c>
      <c r="AI76" s="154">
        <v>46.36871337890625</v>
      </c>
      <c r="AJ76" s="154">
        <v>37.988826751708984</v>
      </c>
      <c r="AK76" s="154">
        <v>14</v>
      </c>
      <c r="AL76" s="154">
        <v>9</v>
      </c>
      <c r="AM76" s="154">
        <v>24</v>
      </c>
      <c r="AN76" s="154">
        <v>20</v>
      </c>
      <c r="AO76" s="154">
        <v>69</v>
      </c>
      <c r="AP76" s="154">
        <v>43</v>
      </c>
      <c r="AQ76" s="154">
        <v>10.29411792755127</v>
      </c>
      <c r="AR76" s="154">
        <v>6.6176471710205078</v>
      </c>
      <c r="AS76" s="154">
        <v>17.647058486938477</v>
      </c>
      <c r="AT76" s="154">
        <v>14.70588207244873</v>
      </c>
      <c r="AU76" s="154">
        <v>50.735294342041016</v>
      </c>
      <c r="AV76" s="154">
        <v>8</v>
      </c>
      <c r="AW76" s="154">
        <v>47</v>
      </c>
      <c r="AX76" s="154">
        <v>36</v>
      </c>
      <c r="AY76" s="154">
        <v>34</v>
      </c>
      <c r="AZ76" s="154">
        <v>3</v>
      </c>
      <c r="BA76" s="154">
        <v>51</v>
      </c>
      <c r="BB76" s="154">
        <v>6.25</v>
      </c>
      <c r="BC76" s="154">
        <v>36.71875</v>
      </c>
      <c r="BD76" s="154">
        <v>28.125</v>
      </c>
      <c r="BE76" s="154">
        <v>26.5625</v>
      </c>
      <c r="BF76" s="154">
        <v>2.34375</v>
      </c>
    </row>
    <row r="77" spans="1:58" x14ac:dyDescent="0.3">
      <c r="A77" s="151" t="s">
        <v>418</v>
      </c>
      <c r="B77" s="151" t="s">
        <v>417</v>
      </c>
      <c r="C77" s="152">
        <v>60</v>
      </c>
      <c r="D77" s="152">
        <v>1</v>
      </c>
      <c r="E77" s="152">
        <v>171</v>
      </c>
      <c r="F77" s="152">
        <v>98.36065673828125</v>
      </c>
      <c r="G77" s="152">
        <v>1.6393442153930664</v>
      </c>
      <c r="H77" s="152">
        <v>219</v>
      </c>
      <c r="I77" s="152">
        <v>4</v>
      </c>
      <c r="J77" s="152">
        <v>2</v>
      </c>
      <c r="K77" s="152">
        <v>1</v>
      </c>
      <c r="L77" s="152"/>
      <c r="M77" s="152">
        <v>6</v>
      </c>
      <c r="N77" s="152">
        <v>96.902656555175781</v>
      </c>
      <c r="O77" s="152">
        <v>1.769911527633667</v>
      </c>
      <c r="P77" s="152">
        <v>0.8849557638168335</v>
      </c>
      <c r="Q77" s="152">
        <v>0.44247788190841675</v>
      </c>
      <c r="R77" s="152"/>
      <c r="S77" s="152">
        <v>57</v>
      </c>
      <c r="T77" s="152">
        <v>66</v>
      </c>
      <c r="U77" s="152">
        <v>59</v>
      </c>
      <c r="V77" s="152">
        <v>26</v>
      </c>
      <c r="W77" s="152">
        <v>24</v>
      </c>
      <c r="X77" s="152">
        <v>24.568965911865234</v>
      </c>
      <c r="Y77" s="152">
        <v>28.448276519775391</v>
      </c>
      <c r="Z77" s="152">
        <v>25.431034088134766</v>
      </c>
      <c r="AA77" s="152">
        <v>11.206896781921387</v>
      </c>
      <c r="AB77" s="152">
        <v>10.344827651977539</v>
      </c>
      <c r="AC77" s="152">
        <v>34</v>
      </c>
      <c r="AD77" s="152">
        <v>1</v>
      </c>
      <c r="AE77" s="152">
        <v>161</v>
      </c>
      <c r="AF77" s="152">
        <v>36</v>
      </c>
      <c r="AG77" s="152">
        <v>14.655172348022461</v>
      </c>
      <c r="AH77" s="152">
        <v>0.43103447556495667</v>
      </c>
      <c r="AI77" s="152">
        <v>69.396553039550781</v>
      </c>
      <c r="AJ77" s="152">
        <v>15.517241477966309</v>
      </c>
      <c r="AK77" s="152">
        <v>30</v>
      </c>
      <c r="AL77" s="152">
        <v>15</v>
      </c>
      <c r="AM77" s="152">
        <v>17</v>
      </c>
      <c r="AN77" s="152">
        <v>24</v>
      </c>
      <c r="AO77" s="152">
        <v>123</v>
      </c>
      <c r="AP77" s="152">
        <v>23</v>
      </c>
      <c r="AQ77" s="152">
        <v>14.354066848754883</v>
      </c>
      <c r="AR77" s="152">
        <v>7.1770334243774414</v>
      </c>
      <c r="AS77" s="152">
        <v>8.1339712142944336</v>
      </c>
      <c r="AT77" s="152">
        <v>11.483253479003906</v>
      </c>
      <c r="AU77" s="152">
        <v>58.851673126220703</v>
      </c>
      <c r="AV77" s="152">
        <v>22</v>
      </c>
      <c r="AW77" s="152">
        <v>52</v>
      </c>
      <c r="AX77" s="152">
        <v>37</v>
      </c>
      <c r="AY77" s="152">
        <v>44</v>
      </c>
      <c r="AZ77" s="152">
        <v>14</v>
      </c>
      <c r="BA77" s="152">
        <v>63</v>
      </c>
      <c r="BB77" s="152">
        <v>13.017751693725586</v>
      </c>
      <c r="BC77" s="152">
        <v>30.769229888916016</v>
      </c>
      <c r="BD77" s="152">
        <v>21.893491744995117</v>
      </c>
      <c r="BE77" s="152">
        <v>26.035503387451172</v>
      </c>
      <c r="BF77" s="152">
        <v>8.2840232849121094</v>
      </c>
    </row>
    <row r="78" spans="1:58" x14ac:dyDescent="0.3">
      <c r="A78" s="153" t="s">
        <v>382</v>
      </c>
      <c r="B78" s="153" t="s">
        <v>381</v>
      </c>
      <c r="C78" s="154">
        <v>60</v>
      </c>
      <c r="D78" s="154">
        <v>2</v>
      </c>
      <c r="E78" s="154">
        <v>154</v>
      </c>
      <c r="F78" s="154">
        <v>96.774192810058594</v>
      </c>
      <c r="G78" s="154">
        <v>3.2258064746856689</v>
      </c>
      <c r="H78" s="154">
        <v>213</v>
      </c>
      <c r="I78" s="154">
        <v>1</v>
      </c>
      <c r="J78" s="154">
        <v>1</v>
      </c>
      <c r="K78" s="154">
        <v>1</v>
      </c>
      <c r="L78" s="154"/>
      <c r="M78" s="154"/>
      <c r="N78" s="154">
        <v>98.611114501953125</v>
      </c>
      <c r="O78" s="154">
        <v>0.46296295523643494</v>
      </c>
      <c r="P78" s="154">
        <v>0.46296295523643494</v>
      </c>
      <c r="Q78" s="154">
        <v>0.46296295523643494</v>
      </c>
      <c r="R78" s="154"/>
      <c r="S78" s="154">
        <v>44</v>
      </c>
      <c r="T78" s="154">
        <v>54</v>
      </c>
      <c r="U78" s="154">
        <v>57</v>
      </c>
      <c r="V78" s="154">
        <v>29</v>
      </c>
      <c r="W78" s="154">
        <v>32</v>
      </c>
      <c r="X78" s="154">
        <v>20.370370864868164</v>
      </c>
      <c r="Y78" s="154">
        <v>25</v>
      </c>
      <c r="Z78" s="154">
        <v>26.388889312744141</v>
      </c>
      <c r="AA78" s="154">
        <v>13.425926208496094</v>
      </c>
      <c r="AB78" s="154">
        <v>14.814814567565918</v>
      </c>
      <c r="AC78" s="154">
        <v>15</v>
      </c>
      <c r="AD78" s="154">
        <v>3</v>
      </c>
      <c r="AE78" s="154">
        <v>137</v>
      </c>
      <c r="AF78" s="154">
        <v>61</v>
      </c>
      <c r="AG78" s="154">
        <v>6.9444446563720703</v>
      </c>
      <c r="AH78" s="154">
        <v>1.3888888359069824</v>
      </c>
      <c r="AI78" s="154">
        <v>63.425926208496094</v>
      </c>
      <c r="AJ78" s="154">
        <v>28.240739822387695</v>
      </c>
      <c r="AK78" s="154">
        <v>28</v>
      </c>
      <c r="AL78" s="154">
        <v>13</v>
      </c>
      <c r="AM78" s="154">
        <v>25</v>
      </c>
      <c r="AN78" s="154">
        <v>18</v>
      </c>
      <c r="AO78" s="154">
        <v>74</v>
      </c>
      <c r="AP78" s="154">
        <v>58</v>
      </c>
      <c r="AQ78" s="154">
        <v>17.721519470214844</v>
      </c>
      <c r="AR78" s="154">
        <v>8.2278480529785156</v>
      </c>
      <c r="AS78" s="154">
        <v>15.822784423828125</v>
      </c>
      <c r="AT78" s="154">
        <v>11.39240550994873</v>
      </c>
      <c r="AU78" s="154">
        <v>46.835441589355469</v>
      </c>
      <c r="AV78" s="154">
        <v>28</v>
      </c>
      <c r="AW78" s="154">
        <v>18</v>
      </c>
      <c r="AX78" s="154">
        <v>20</v>
      </c>
      <c r="AY78" s="154">
        <v>28</v>
      </c>
      <c r="AZ78" s="154">
        <v>15</v>
      </c>
      <c r="BA78" s="154">
        <v>107</v>
      </c>
      <c r="BB78" s="154">
        <v>25.688074111938477</v>
      </c>
      <c r="BC78" s="154">
        <v>16.513761520385742</v>
      </c>
      <c r="BD78" s="154">
        <v>18.348623275756836</v>
      </c>
      <c r="BE78" s="154">
        <v>25.688074111938477</v>
      </c>
      <c r="BF78" s="154">
        <v>13.761467933654785</v>
      </c>
    </row>
    <row r="79" spans="1:58" x14ac:dyDescent="0.3">
      <c r="A79" s="151" t="s">
        <v>427</v>
      </c>
      <c r="B79" s="151" t="s">
        <v>426</v>
      </c>
      <c r="C79" s="152">
        <v>183</v>
      </c>
      <c r="D79" s="152">
        <v>25</v>
      </c>
      <c r="E79" s="152">
        <v>7</v>
      </c>
      <c r="F79" s="152">
        <v>87.980766296386719</v>
      </c>
      <c r="G79" s="152">
        <v>12.019230842590332</v>
      </c>
      <c r="H79" s="152">
        <v>195</v>
      </c>
      <c r="I79" s="152">
        <v>6</v>
      </c>
      <c r="J79" s="152">
        <v>6</v>
      </c>
      <c r="K79" s="152">
        <v>4</v>
      </c>
      <c r="L79" s="152">
        <v>2</v>
      </c>
      <c r="M79" s="152">
        <v>2</v>
      </c>
      <c r="N79" s="152">
        <v>91.549293518066406</v>
      </c>
      <c r="O79" s="152">
        <v>2.8169014453887939</v>
      </c>
      <c r="P79" s="152">
        <v>2.8169014453887939</v>
      </c>
      <c r="Q79" s="152">
        <v>1.8779342174530029</v>
      </c>
      <c r="R79" s="152">
        <v>0.93896710872650146</v>
      </c>
      <c r="S79" s="152">
        <v>38</v>
      </c>
      <c r="T79" s="152">
        <v>53</v>
      </c>
      <c r="U79" s="152">
        <v>39</v>
      </c>
      <c r="V79" s="152">
        <v>50</v>
      </c>
      <c r="W79" s="152">
        <v>35</v>
      </c>
      <c r="X79" s="152">
        <v>17.674419403076172</v>
      </c>
      <c r="Y79" s="152">
        <v>24.651163101196289</v>
      </c>
      <c r="Z79" s="152">
        <v>18.139533996582031</v>
      </c>
      <c r="AA79" s="152">
        <v>23.255813598632813</v>
      </c>
      <c r="AB79" s="152">
        <v>16.279069900512695</v>
      </c>
      <c r="AC79" s="152">
        <v>31</v>
      </c>
      <c r="AD79" s="152">
        <v>3</v>
      </c>
      <c r="AE79" s="152">
        <v>114</v>
      </c>
      <c r="AF79" s="152">
        <v>67</v>
      </c>
      <c r="AG79" s="152">
        <v>14.418604850769043</v>
      </c>
      <c r="AH79" s="152">
        <v>1.3953487873077393</v>
      </c>
      <c r="AI79" s="152">
        <v>53.02325439453125</v>
      </c>
      <c r="AJ79" s="152">
        <v>31.162790298461914</v>
      </c>
      <c r="AK79" s="152">
        <v>41</v>
      </c>
      <c r="AL79" s="152">
        <v>19</v>
      </c>
      <c r="AM79" s="152">
        <v>20</v>
      </c>
      <c r="AN79" s="152">
        <v>21</v>
      </c>
      <c r="AO79" s="152">
        <v>111</v>
      </c>
      <c r="AP79" s="152">
        <v>3</v>
      </c>
      <c r="AQ79" s="152">
        <v>19.339622497558594</v>
      </c>
      <c r="AR79" s="152">
        <v>8.9622640609741211</v>
      </c>
      <c r="AS79" s="152">
        <v>9.4339618682861328</v>
      </c>
      <c r="AT79" s="152">
        <v>9.9056606292724609</v>
      </c>
      <c r="AU79" s="152">
        <v>52.358489990234375</v>
      </c>
      <c r="AV79" s="152">
        <v>43</v>
      </c>
      <c r="AW79" s="152">
        <v>47</v>
      </c>
      <c r="AX79" s="152">
        <v>47</v>
      </c>
      <c r="AY79" s="152">
        <v>54</v>
      </c>
      <c r="AZ79" s="152">
        <v>12</v>
      </c>
      <c r="BA79" s="152">
        <v>12</v>
      </c>
      <c r="BB79" s="152">
        <v>21.182266235351563</v>
      </c>
      <c r="BC79" s="152">
        <v>23.1527099609375</v>
      </c>
      <c r="BD79" s="152">
        <v>23.1527099609375</v>
      </c>
      <c r="BE79" s="152">
        <v>26.600984573364258</v>
      </c>
      <c r="BF79" s="152">
        <v>5.9113302230834961</v>
      </c>
    </row>
    <row r="80" spans="1:58" x14ac:dyDescent="0.3">
      <c r="A80" s="153" t="s">
        <v>458</v>
      </c>
      <c r="B80" s="153" t="s">
        <v>457</v>
      </c>
      <c r="C80" s="154">
        <v>88</v>
      </c>
      <c r="D80" s="154">
        <v>13</v>
      </c>
      <c r="E80" s="154">
        <v>26</v>
      </c>
      <c r="F80" s="154">
        <v>87.128715515136719</v>
      </c>
      <c r="G80" s="154">
        <v>12.87128734588623</v>
      </c>
      <c r="H80" s="154">
        <v>123</v>
      </c>
      <c r="I80" s="154"/>
      <c r="J80" s="154">
        <v>1</v>
      </c>
      <c r="K80" s="154"/>
      <c r="L80" s="154"/>
      <c r="M80" s="154">
        <v>3</v>
      </c>
      <c r="N80" s="154">
        <v>99.193550109863281</v>
      </c>
      <c r="O80" s="154"/>
      <c r="P80" s="154">
        <v>0.80645161867141724</v>
      </c>
      <c r="Q80" s="154"/>
      <c r="R80" s="154"/>
      <c r="S80" s="154">
        <v>4</v>
      </c>
      <c r="T80" s="154">
        <v>18</v>
      </c>
      <c r="U80" s="154">
        <v>54</v>
      </c>
      <c r="V80" s="154">
        <v>25</v>
      </c>
      <c r="W80" s="154">
        <v>26</v>
      </c>
      <c r="X80" s="154">
        <v>3.1496062278747559</v>
      </c>
      <c r="Y80" s="154">
        <v>14.17322826385498</v>
      </c>
      <c r="Z80" s="154">
        <v>42.519683837890625</v>
      </c>
      <c r="AA80" s="154">
        <v>19.685039520263672</v>
      </c>
      <c r="AB80" s="154">
        <v>20.472440719604492</v>
      </c>
      <c r="AC80" s="154">
        <v>4</v>
      </c>
      <c r="AD80" s="154">
        <v>5</v>
      </c>
      <c r="AE80" s="154">
        <v>74</v>
      </c>
      <c r="AF80" s="154">
        <v>44</v>
      </c>
      <c r="AG80" s="154">
        <v>3.1496062278747559</v>
      </c>
      <c r="AH80" s="154">
        <v>3.9370079040527344</v>
      </c>
      <c r="AI80" s="154">
        <v>58.267715454101563</v>
      </c>
      <c r="AJ80" s="154">
        <v>34.645668029785156</v>
      </c>
      <c r="AK80" s="154">
        <v>32</v>
      </c>
      <c r="AL80" s="154">
        <v>11</v>
      </c>
      <c r="AM80" s="154">
        <v>6</v>
      </c>
      <c r="AN80" s="154">
        <v>11</v>
      </c>
      <c r="AO80" s="154">
        <v>59</v>
      </c>
      <c r="AP80" s="154">
        <v>8</v>
      </c>
      <c r="AQ80" s="154">
        <v>26.890756607055664</v>
      </c>
      <c r="AR80" s="154">
        <v>9.2436971664428711</v>
      </c>
      <c r="AS80" s="154">
        <v>5.0420169830322266</v>
      </c>
      <c r="AT80" s="154">
        <v>9.2436971664428711</v>
      </c>
      <c r="AU80" s="154">
        <v>49.579830169677734</v>
      </c>
      <c r="AV80" s="154">
        <v>35</v>
      </c>
      <c r="AW80" s="154">
        <v>42</v>
      </c>
      <c r="AX80" s="154">
        <v>14</v>
      </c>
      <c r="AY80" s="154">
        <v>22</v>
      </c>
      <c r="AZ80" s="154">
        <v>7</v>
      </c>
      <c r="BA80" s="154">
        <v>7</v>
      </c>
      <c r="BB80" s="154">
        <v>29.166666030883789</v>
      </c>
      <c r="BC80" s="154">
        <v>35</v>
      </c>
      <c r="BD80" s="154">
        <v>11.666666984558105</v>
      </c>
      <c r="BE80" s="154">
        <v>18.333333969116211</v>
      </c>
      <c r="BF80" s="154">
        <v>5.8333334922790527</v>
      </c>
    </row>
    <row r="81" spans="1:58" x14ac:dyDescent="0.3">
      <c r="A81" s="151" t="s">
        <v>330</v>
      </c>
      <c r="B81" s="151" t="s">
        <v>329</v>
      </c>
      <c r="C81" s="152">
        <v>68</v>
      </c>
      <c r="D81" s="152">
        <v>4</v>
      </c>
      <c r="E81" s="152">
        <v>295</v>
      </c>
      <c r="F81" s="152">
        <v>94.444442749023438</v>
      </c>
      <c r="G81" s="152">
        <v>5.5555553436279297</v>
      </c>
      <c r="H81" s="152">
        <v>343</v>
      </c>
      <c r="I81" s="152">
        <v>5</v>
      </c>
      <c r="J81" s="152">
        <v>3</v>
      </c>
      <c r="K81" s="152">
        <v>3</v>
      </c>
      <c r="L81" s="152">
        <v>5</v>
      </c>
      <c r="M81" s="152">
        <v>8</v>
      </c>
      <c r="N81" s="152">
        <v>95.543174743652344</v>
      </c>
      <c r="O81" s="152">
        <v>1.3927576541900635</v>
      </c>
      <c r="P81" s="152">
        <v>0.835654616355896</v>
      </c>
      <c r="Q81" s="152">
        <v>0.835654616355896</v>
      </c>
      <c r="R81" s="152">
        <v>1.3927576541900635</v>
      </c>
      <c r="S81" s="152">
        <v>102</v>
      </c>
      <c r="T81" s="152">
        <v>156</v>
      </c>
      <c r="U81" s="152">
        <v>48</v>
      </c>
      <c r="V81" s="152">
        <v>46</v>
      </c>
      <c r="W81" s="152">
        <v>15</v>
      </c>
      <c r="X81" s="152">
        <v>27.792915344238281</v>
      </c>
      <c r="Y81" s="152">
        <v>42.506813049316406</v>
      </c>
      <c r="Z81" s="152">
        <v>13.079019546508789</v>
      </c>
      <c r="AA81" s="152">
        <v>12.534059524536133</v>
      </c>
      <c r="AB81" s="152">
        <v>4.087193489074707</v>
      </c>
      <c r="AC81" s="152">
        <v>20</v>
      </c>
      <c r="AD81" s="152">
        <v>2</v>
      </c>
      <c r="AE81" s="152">
        <v>167</v>
      </c>
      <c r="AF81" s="152">
        <v>178</v>
      </c>
      <c r="AG81" s="152">
        <v>5.4495911598205566</v>
      </c>
      <c r="AH81" s="152">
        <v>0.54495912790298462</v>
      </c>
      <c r="AI81" s="152">
        <v>45.504085540771484</v>
      </c>
      <c r="AJ81" s="152">
        <v>48.501361846923828</v>
      </c>
      <c r="AK81" s="152">
        <v>79</v>
      </c>
      <c r="AL81" s="152">
        <v>43</v>
      </c>
      <c r="AM81" s="152">
        <v>43</v>
      </c>
      <c r="AN81" s="152">
        <v>24</v>
      </c>
      <c r="AO81" s="152">
        <v>124</v>
      </c>
      <c r="AP81" s="152">
        <v>54</v>
      </c>
      <c r="AQ81" s="152">
        <v>25.239616394042969</v>
      </c>
      <c r="AR81" s="152">
        <v>13.738018989562988</v>
      </c>
      <c r="AS81" s="152">
        <v>13.738018989562988</v>
      </c>
      <c r="AT81" s="152">
        <v>7.667731761932373</v>
      </c>
      <c r="AU81" s="152">
        <v>39.616615295410156</v>
      </c>
      <c r="AV81" s="152">
        <v>67</v>
      </c>
      <c r="AW81" s="152">
        <v>81</v>
      </c>
      <c r="AX81" s="152">
        <v>51</v>
      </c>
      <c r="AY81" s="152">
        <v>47</v>
      </c>
      <c r="AZ81" s="152">
        <v>7</v>
      </c>
      <c r="BA81" s="152">
        <v>114</v>
      </c>
      <c r="BB81" s="152">
        <v>26.482213973999023</v>
      </c>
      <c r="BC81" s="152">
        <v>32.015811920166016</v>
      </c>
      <c r="BD81" s="152">
        <v>20.158102035522461</v>
      </c>
      <c r="BE81" s="152">
        <v>18.577075958251953</v>
      </c>
      <c r="BF81" s="152">
        <v>2.7667984962463379</v>
      </c>
    </row>
    <row r="82" spans="1:58" x14ac:dyDescent="0.3">
      <c r="A82" s="153" t="s">
        <v>404</v>
      </c>
      <c r="B82" s="153" t="s">
        <v>403</v>
      </c>
      <c r="C82" s="154">
        <v>73</v>
      </c>
      <c r="D82" s="154">
        <v>6</v>
      </c>
      <c r="E82" s="154">
        <v>187</v>
      </c>
      <c r="F82" s="154">
        <v>92.405059814453125</v>
      </c>
      <c r="G82" s="154">
        <v>7.5949368476867676</v>
      </c>
      <c r="H82" s="154">
        <v>231</v>
      </c>
      <c r="I82" s="154">
        <v>7</v>
      </c>
      <c r="J82" s="154">
        <v>9</v>
      </c>
      <c r="K82" s="154">
        <v>4</v>
      </c>
      <c r="L82" s="154">
        <v>5</v>
      </c>
      <c r="M82" s="154">
        <v>10</v>
      </c>
      <c r="N82" s="154">
        <v>90.234375</v>
      </c>
      <c r="O82" s="154">
        <v>2.734375</v>
      </c>
      <c r="P82" s="154">
        <v>3.515625</v>
      </c>
      <c r="Q82" s="154">
        <v>1.5625</v>
      </c>
      <c r="R82" s="154">
        <v>1.953125</v>
      </c>
      <c r="S82" s="154">
        <v>75</v>
      </c>
      <c r="T82" s="154">
        <v>75</v>
      </c>
      <c r="U82" s="154">
        <v>50</v>
      </c>
      <c r="V82" s="154">
        <v>43</v>
      </c>
      <c r="W82" s="154">
        <v>23</v>
      </c>
      <c r="X82" s="154">
        <v>28.195487976074219</v>
      </c>
      <c r="Y82" s="154">
        <v>28.195487976074219</v>
      </c>
      <c r="Z82" s="154">
        <v>18.796993255615234</v>
      </c>
      <c r="AA82" s="154">
        <v>16.165412902832031</v>
      </c>
      <c r="AB82" s="154">
        <v>8.6466169357299805</v>
      </c>
      <c r="AC82" s="154">
        <v>18</v>
      </c>
      <c r="AD82" s="154">
        <v>2</v>
      </c>
      <c r="AE82" s="154">
        <v>104</v>
      </c>
      <c r="AF82" s="154">
        <v>142</v>
      </c>
      <c r="AG82" s="154">
        <v>6.7669172286987305</v>
      </c>
      <c r="AH82" s="154">
        <v>0.75187969207763672</v>
      </c>
      <c r="AI82" s="154">
        <v>39.097743988037109</v>
      </c>
      <c r="AJ82" s="154">
        <v>53.383457183837891</v>
      </c>
      <c r="AK82" s="154">
        <v>45</v>
      </c>
      <c r="AL82" s="154">
        <v>13</v>
      </c>
      <c r="AM82" s="154">
        <v>23</v>
      </c>
      <c r="AN82" s="154">
        <v>28</v>
      </c>
      <c r="AO82" s="154">
        <v>105</v>
      </c>
      <c r="AP82" s="154">
        <v>52</v>
      </c>
      <c r="AQ82" s="154">
        <v>21.028038024902344</v>
      </c>
      <c r="AR82" s="154">
        <v>6.0747661590576172</v>
      </c>
      <c r="AS82" s="154">
        <v>10.747663497924805</v>
      </c>
      <c r="AT82" s="154">
        <v>13.084112167358398</v>
      </c>
      <c r="AU82" s="154">
        <v>49.065422058105469</v>
      </c>
      <c r="AV82" s="154">
        <v>26</v>
      </c>
      <c r="AW82" s="154">
        <v>55</v>
      </c>
      <c r="AX82" s="154">
        <v>39</v>
      </c>
      <c r="AY82" s="154">
        <v>44</v>
      </c>
      <c r="AZ82" s="154">
        <v>16</v>
      </c>
      <c r="BA82" s="154">
        <v>86</v>
      </c>
      <c r="BB82" s="154">
        <v>14.44444465637207</v>
      </c>
      <c r="BC82" s="154">
        <v>30.55555534362793</v>
      </c>
      <c r="BD82" s="154">
        <v>21.666666030883789</v>
      </c>
      <c r="BE82" s="154">
        <v>24.44444465637207</v>
      </c>
      <c r="BF82" s="154">
        <v>8.8888893127441406</v>
      </c>
    </row>
    <row r="83" spans="1:58" x14ac:dyDescent="0.3">
      <c r="A83" s="151" t="s">
        <v>504</v>
      </c>
      <c r="B83" s="151" t="s">
        <v>503</v>
      </c>
      <c r="C83" s="152">
        <v>6</v>
      </c>
      <c r="D83" s="152">
        <v>2</v>
      </c>
      <c r="E83" s="152">
        <v>40</v>
      </c>
      <c r="F83" s="152">
        <v>75</v>
      </c>
      <c r="G83" s="152">
        <v>25</v>
      </c>
      <c r="H83" s="152">
        <v>39</v>
      </c>
      <c r="I83" s="152"/>
      <c r="J83" s="152">
        <v>2</v>
      </c>
      <c r="K83" s="152">
        <v>3</v>
      </c>
      <c r="L83" s="152">
        <v>4</v>
      </c>
      <c r="M83" s="152"/>
      <c r="N83" s="152">
        <v>81.25</v>
      </c>
      <c r="O83" s="152"/>
      <c r="P83" s="152">
        <v>4.1666665077209473</v>
      </c>
      <c r="Q83" s="152">
        <v>6.25</v>
      </c>
      <c r="R83" s="152">
        <v>8.3333330154418945</v>
      </c>
      <c r="S83" s="152">
        <v>5</v>
      </c>
      <c r="T83" s="152">
        <v>12</v>
      </c>
      <c r="U83" s="152">
        <v>9</v>
      </c>
      <c r="V83" s="152">
        <v>10</v>
      </c>
      <c r="W83" s="152">
        <v>12</v>
      </c>
      <c r="X83" s="152">
        <v>10.416666984558105</v>
      </c>
      <c r="Y83" s="152">
        <v>25</v>
      </c>
      <c r="Z83" s="152">
        <v>18.75</v>
      </c>
      <c r="AA83" s="152">
        <v>20.833333969116211</v>
      </c>
      <c r="AB83" s="152">
        <v>25</v>
      </c>
      <c r="AC83" s="152">
        <v>1</v>
      </c>
      <c r="AD83" s="152"/>
      <c r="AE83" s="152">
        <v>42</v>
      </c>
      <c r="AF83" s="152">
        <v>5</v>
      </c>
      <c r="AG83" s="152">
        <v>2.0833332538604736</v>
      </c>
      <c r="AH83" s="152"/>
      <c r="AI83" s="152">
        <v>87.5</v>
      </c>
      <c r="AJ83" s="152">
        <v>10.416666984558105</v>
      </c>
      <c r="AK83" s="152">
        <v>9</v>
      </c>
      <c r="AL83" s="152">
        <v>3</v>
      </c>
      <c r="AM83" s="152">
        <v>4</v>
      </c>
      <c r="AN83" s="152">
        <v>3</v>
      </c>
      <c r="AO83" s="152">
        <v>20</v>
      </c>
      <c r="AP83" s="152">
        <v>9</v>
      </c>
      <c r="AQ83" s="152">
        <v>23.076923370361328</v>
      </c>
      <c r="AR83" s="152">
        <v>7.6923074722290039</v>
      </c>
      <c r="AS83" s="152">
        <v>10.256410598754883</v>
      </c>
      <c r="AT83" s="152">
        <v>7.6923074722290039</v>
      </c>
      <c r="AU83" s="152">
        <v>51.282051086425781</v>
      </c>
      <c r="AV83" s="152">
        <v>5</v>
      </c>
      <c r="AW83" s="152">
        <v>18</v>
      </c>
      <c r="AX83" s="152">
        <v>6</v>
      </c>
      <c r="AY83" s="152"/>
      <c r="AZ83" s="152"/>
      <c r="BA83" s="152">
        <v>19</v>
      </c>
      <c r="BB83" s="152">
        <v>17.241378784179688</v>
      </c>
      <c r="BC83" s="152">
        <v>62.068965911865234</v>
      </c>
      <c r="BD83" s="152">
        <v>20.689655303955078</v>
      </c>
      <c r="BE83" s="152"/>
      <c r="BF83" s="152"/>
    </row>
    <row r="84" spans="1:58" x14ac:dyDescent="0.3">
      <c r="A84" s="153" t="s">
        <v>310</v>
      </c>
      <c r="B84" s="153" t="s">
        <v>309</v>
      </c>
      <c r="C84" s="154">
        <v>12</v>
      </c>
      <c r="D84" s="154">
        <v>3</v>
      </c>
      <c r="E84" s="154">
        <v>187</v>
      </c>
      <c r="F84" s="154">
        <v>80</v>
      </c>
      <c r="G84" s="154">
        <v>20</v>
      </c>
      <c r="H84" s="154">
        <v>138</v>
      </c>
      <c r="I84" s="154">
        <v>6</v>
      </c>
      <c r="J84" s="154">
        <v>11</v>
      </c>
      <c r="K84" s="154">
        <v>9</v>
      </c>
      <c r="L84" s="154">
        <v>26</v>
      </c>
      <c r="M84" s="154">
        <v>12</v>
      </c>
      <c r="N84" s="154">
        <v>72.631576538085938</v>
      </c>
      <c r="O84" s="154">
        <v>3.1578948497772217</v>
      </c>
      <c r="P84" s="154">
        <v>5.7894735336303711</v>
      </c>
      <c r="Q84" s="154">
        <v>4.736842155456543</v>
      </c>
      <c r="R84" s="154">
        <v>13.684210777282715</v>
      </c>
      <c r="S84" s="154">
        <v>20</v>
      </c>
      <c r="T84" s="154">
        <v>64</v>
      </c>
      <c r="U84" s="154">
        <v>67</v>
      </c>
      <c r="V84" s="154">
        <v>29</v>
      </c>
      <c r="W84" s="154">
        <v>22</v>
      </c>
      <c r="X84" s="154">
        <v>9.9009904861450195</v>
      </c>
      <c r="Y84" s="154">
        <v>31.683168411254883</v>
      </c>
      <c r="Z84" s="154">
        <v>33.168315887451172</v>
      </c>
      <c r="AA84" s="154">
        <v>14.356435775756836</v>
      </c>
      <c r="AB84" s="154">
        <v>10.89108943939209</v>
      </c>
      <c r="AC84" s="154">
        <v>9</v>
      </c>
      <c r="AD84" s="154">
        <v>4</v>
      </c>
      <c r="AE84" s="154">
        <v>128</v>
      </c>
      <c r="AF84" s="154">
        <v>61</v>
      </c>
      <c r="AG84" s="154">
        <v>4.4554457664489746</v>
      </c>
      <c r="AH84" s="154">
        <v>1.9801980257034302</v>
      </c>
      <c r="AI84" s="154">
        <v>63.366336822509766</v>
      </c>
      <c r="AJ84" s="154">
        <v>30.198019027709961</v>
      </c>
      <c r="AK84" s="154">
        <v>44</v>
      </c>
      <c r="AL84" s="154">
        <v>17</v>
      </c>
      <c r="AM84" s="154">
        <v>33</v>
      </c>
      <c r="AN84" s="154">
        <v>8</v>
      </c>
      <c r="AO84" s="154">
        <v>89</v>
      </c>
      <c r="AP84" s="154">
        <v>11</v>
      </c>
      <c r="AQ84" s="154">
        <v>23.036649703979492</v>
      </c>
      <c r="AR84" s="154">
        <v>8.9005231857299805</v>
      </c>
      <c r="AS84" s="154">
        <v>17.277486801147461</v>
      </c>
      <c r="AT84" s="154">
        <v>4.1884818077087402</v>
      </c>
      <c r="AU84" s="154">
        <v>46.596858978271484</v>
      </c>
      <c r="AV84" s="154">
        <v>48</v>
      </c>
      <c r="AW84" s="154">
        <v>47</v>
      </c>
      <c r="AX84" s="154">
        <v>23</v>
      </c>
      <c r="AY84" s="154">
        <v>41</v>
      </c>
      <c r="AZ84" s="154">
        <v>17</v>
      </c>
      <c r="BA84" s="154">
        <v>26</v>
      </c>
      <c r="BB84" s="154">
        <v>27.272727966308594</v>
      </c>
      <c r="BC84" s="154">
        <v>26.704545974731445</v>
      </c>
      <c r="BD84" s="154">
        <v>13.068181991577148</v>
      </c>
      <c r="BE84" s="154">
        <v>23.295454025268555</v>
      </c>
      <c r="BF84" s="154">
        <v>9.6590909957885742</v>
      </c>
    </row>
    <row r="85" spans="1:58" x14ac:dyDescent="0.3">
      <c r="A85" s="151" t="s">
        <v>498</v>
      </c>
      <c r="B85" s="151" t="s">
        <v>497</v>
      </c>
      <c r="C85" s="152">
        <v>57</v>
      </c>
      <c r="D85" s="152">
        <v>3</v>
      </c>
      <c r="E85" s="152">
        <v>98</v>
      </c>
      <c r="F85" s="152">
        <v>95</v>
      </c>
      <c r="G85" s="152">
        <v>5</v>
      </c>
      <c r="H85" s="152">
        <v>149</v>
      </c>
      <c r="I85" s="152">
        <v>2</v>
      </c>
      <c r="J85" s="152">
        <v>3</v>
      </c>
      <c r="K85" s="152">
        <v>2</v>
      </c>
      <c r="L85" s="152">
        <v>2</v>
      </c>
      <c r="M85" s="152"/>
      <c r="N85" s="152">
        <v>94.303794860839844</v>
      </c>
      <c r="O85" s="152">
        <v>1.2658227682113647</v>
      </c>
      <c r="P85" s="152">
        <v>1.8987342119216919</v>
      </c>
      <c r="Q85" s="152">
        <v>1.2658227682113647</v>
      </c>
      <c r="R85" s="152">
        <v>1.2658227682113647</v>
      </c>
      <c r="S85" s="152">
        <v>2</v>
      </c>
      <c r="T85" s="152">
        <v>43</v>
      </c>
      <c r="U85" s="152">
        <v>51</v>
      </c>
      <c r="V85" s="152">
        <v>31</v>
      </c>
      <c r="W85" s="152">
        <v>31</v>
      </c>
      <c r="X85" s="152">
        <v>1.2658227682113647</v>
      </c>
      <c r="Y85" s="152">
        <v>27.215188980102539</v>
      </c>
      <c r="Z85" s="152">
        <v>32.278480529785156</v>
      </c>
      <c r="AA85" s="152">
        <v>19.62025260925293</v>
      </c>
      <c r="AB85" s="152">
        <v>19.62025260925293</v>
      </c>
      <c r="AC85" s="152">
        <v>9</v>
      </c>
      <c r="AD85" s="152">
        <v>2</v>
      </c>
      <c r="AE85" s="152">
        <v>142</v>
      </c>
      <c r="AF85" s="152">
        <v>5</v>
      </c>
      <c r="AG85" s="152">
        <v>5.6962027549743652</v>
      </c>
      <c r="AH85" s="152">
        <v>1.2658227682113647</v>
      </c>
      <c r="AI85" s="152">
        <v>89.873420715332031</v>
      </c>
      <c r="AJ85" s="152">
        <v>3.1645569801330566</v>
      </c>
      <c r="AK85" s="152">
        <v>22</v>
      </c>
      <c r="AL85" s="152">
        <v>5</v>
      </c>
      <c r="AM85" s="152">
        <v>10</v>
      </c>
      <c r="AN85" s="152">
        <v>8</v>
      </c>
      <c r="AO85" s="152">
        <v>67</v>
      </c>
      <c r="AP85" s="152">
        <v>46</v>
      </c>
      <c r="AQ85" s="152">
        <v>19.642856597900391</v>
      </c>
      <c r="AR85" s="152">
        <v>4.4642858505249023</v>
      </c>
      <c r="AS85" s="152">
        <v>8.9285717010498047</v>
      </c>
      <c r="AT85" s="152">
        <v>7.1428570747375488</v>
      </c>
      <c r="AU85" s="152">
        <v>59.821430206298828</v>
      </c>
      <c r="AV85" s="152">
        <v>25</v>
      </c>
      <c r="AW85" s="152">
        <v>47</v>
      </c>
      <c r="AX85" s="152">
        <v>29</v>
      </c>
      <c r="AY85" s="152">
        <v>24</v>
      </c>
      <c r="AZ85" s="152">
        <v>14</v>
      </c>
      <c r="BA85" s="152">
        <v>19</v>
      </c>
      <c r="BB85" s="152">
        <v>17.985610961914063</v>
      </c>
      <c r="BC85" s="152">
        <v>33.812950134277344</v>
      </c>
      <c r="BD85" s="152">
        <v>20.863309860229492</v>
      </c>
      <c r="BE85" s="152">
        <v>17.26618766784668</v>
      </c>
      <c r="BF85" s="152">
        <v>10.071942329406738</v>
      </c>
    </row>
    <row r="86" spans="1:58" x14ac:dyDescent="0.3">
      <c r="A86" s="153" t="s">
        <v>372</v>
      </c>
      <c r="B86" s="153" t="s">
        <v>371</v>
      </c>
      <c r="C86" s="154">
        <v>38</v>
      </c>
      <c r="D86" s="154">
        <v>4</v>
      </c>
      <c r="E86" s="154">
        <v>73</v>
      </c>
      <c r="F86" s="154">
        <v>90.476188659667969</v>
      </c>
      <c r="G86" s="154">
        <v>9.5238094329833984</v>
      </c>
      <c r="H86" s="154">
        <v>76</v>
      </c>
      <c r="I86" s="154">
        <v>2</v>
      </c>
      <c r="J86" s="154">
        <v>9</v>
      </c>
      <c r="K86" s="154">
        <v>12</v>
      </c>
      <c r="L86" s="154">
        <v>15</v>
      </c>
      <c r="M86" s="154">
        <v>1</v>
      </c>
      <c r="N86" s="154">
        <v>66.666664123535156</v>
      </c>
      <c r="O86" s="154">
        <v>1.7543859481811523</v>
      </c>
      <c r="P86" s="154">
        <v>7.8947367668151855</v>
      </c>
      <c r="Q86" s="154">
        <v>10.526315689086914</v>
      </c>
      <c r="R86" s="154">
        <v>13.157895088195801</v>
      </c>
      <c r="S86" s="154">
        <v>53</v>
      </c>
      <c r="T86" s="154">
        <v>55</v>
      </c>
      <c r="U86" s="154">
        <v>6</v>
      </c>
      <c r="V86" s="154"/>
      <c r="W86" s="154">
        <v>1</v>
      </c>
      <c r="X86" s="154">
        <v>46.086956024169922</v>
      </c>
      <c r="Y86" s="154">
        <v>47.826087951660156</v>
      </c>
      <c r="Z86" s="154">
        <v>5.2173914909362793</v>
      </c>
      <c r="AA86" s="154"/>
      <c r="AB86" s="154">
        <v>0.86956518888473511</v>
      </c>
      <c r="AC86" s="154">
        <v>5</v>
      </c>
      <c r="AD86" s="154">
        <v>5</v>
      </c>
      <c r="AE86" s="154">
        <v>62</v>
      </c>
      <c r="AF86" s="154">
        <v>43</v>
      </c>
      <c r="AG86" s="154">
        <v>4.3478260040283203</v>
      </c>
      <c r="AH86" s="154">
        <v>4.3478260040283203</v>
      </c>
      <c r="AI86" s="154">
        <v>53.913043975830078</v>
      </c>
      <c r="AJ86" s="154">
        <v>37.391304016113281</v>
      </c>
      <c r="AK86" s="154">
        <v>32</v>
      </c>
      <c r="AL86" s="154">
        <v>7</v>
      </c>
      <c r="AM86" s="154">
        <v>7</v>
      </c>
      <c r="AN86" s="154">
        <v>13</v>
      </c>
      <c r="AO86" s="154">
        <v>39</v>
      </c>
      <c r="AP86" s="154">
        <v>17</v>
      </c>
      <c r="AQ86" s="154">
        <v>32.653060913085938</v>
      </c>
      <c r="AR86" s="154">
        <v>7.1428570747375488</v>
      </c>
      <c r="AS86" s="154">
        <v>7.1428570747375488</v>
      </c>
      <c r="AT86" s="154">
        <v>13.26530647277832</v>
      </c>
      <c r="AU86" s="154">
        <v>39.795917510986328</v>
      </c>
      <c r="AV86" s="154">
        <v>24</v>
      </c>
      <c r="AW86" s="154">
        <v>25</v>
      </c>
      <c r="AX86" s="154">
        <v>15</v>
      </c>
      <c r="AY86" s="154">
        <v>13</v>
      </c>
      <c r="AZ86" s="154">
        <v>2</v>
      </c>
      <c r="BA86" s="154">
        <v>36</v>
      </c>
      <c r="BB86" s="154">
        <v>30.37974739074707</v>
      </c>
      <c r="BC86" s="154">
        <v>31.64556884765625</v>
      </c>
      <c r="BD86" s="154">
        <v>18.987340927124023</v>
      </c>
      <c r="BE86" s="154">
        <v>16.455696105957031</v>
      </c>
      <c r="BF86" s="154">
        <v>2.5316455364227295</v>
      </c>
    </row>
    <row r="87" spans="1:58" x14ac:dyDescent="0.3">
      <c r="A87" s="151" t="s">
        <v>354</v>
      </c>
      <c r="B87" s="151" t="s">
        <v>353</v>
      </c>
      <c r="C87" s="152">
        <v>79</v>
      </c>
      <c r="D87" s="152">
        <v>7</v>
      </c>
      <c r="E87" s="152">
        <v>152</v>
      </c>
      <c r="F87" s="152">
        <v>91.860466003417969</v>
      </c>
      <c r="G87" s="152">
        <v>8.1395349502563477</v>
      </c>
      <c r="H87" s="152">
        <v>215</v>
      </c>
      <c r="I87" s="152">
        <v>6</v>
      </c>
      <c r="J87" s="152">
        <v>2</v>
      </c>
      <c r="K87" s="152">
        <v>4</v>
      </c>
      <c r="L87" s="152">
        <v>2</v>
      </c>
      <c r="M87" s="152">
        <v>9</v>
      </c>
      <c r="N87" s="152">
        <v>93.886459350585938</v>
      </c>
      <c r="O87" s="152">
        <v>2.6200873851776123</v>
      </c>
      <c r="P87" s="152">
        <v>0.87336242198944092</v>
      </c>
      <c r="Q87" s="152">
        <v>1.7467248439788818</v>
      </c>
      <c r="R87" s="152">
        <v>0.87336242198944092</v>
      </c>
      <c r="S87" s="152">
        <v>84</v>
      </c>
      <c r="T87" s="152">
        <v>71</v>
      </c>
      <c r="U87" s="152">
        <v>37</v>
      </c>
      <c r="V87" s="152">
        <v>28</v>
      </c>
      <c r="W87" s="152">
        <v>18</v>
      </c>
      <c r="X87" s="152">
        <v>35.294116973876953</v>
      </c>
      <c r="Y87" s="152">
        <v>29.831932067871094</v>
      </c>
      <c r="Z87" s="152">
        <v>15.546218872070313</v>
      </c>
      <c r="AA87" s="152">
        <v>11.764705657958984</v>
      </c>
      <c r="AB87" s="152">
        <v>7.5630249977111816</v>
      </c>
      <c r="AC87" s="152">
        <v>22</v>
      </c>
      <c r="AD87" s="152">
        <v>2</v>
      </c>
      <c r="AE87" s="152">
        <v>87</v>
      </c>
      <c r="AF87" s="152">
        <v>127</v>
      </c>
      <c r="AG87" s="152">
        <v>9.2436971664428711</v>
      </c>
      <c r="AH87" s="152">
        <v>0.8403361439704895</v>
      </c>
      <c r="AI87" s="152">
        <v>36.554622650146484</v>
      </c>
      <c r="AJ87" s="152">
        <v>53.361343383789063</v>
      </c>
      <c r="AK87" s="152">
        <v>50</v>
      </c>
      <c r="AL87" s="152">
        <v>16</v>
      </c>
      <c r="AM87" s="152">
        <v>34</v>
      </c>
      <c r="AN87" s="152">
        <v>20</v>
      </c>
      <c r="AO87" s="152">
        <v>86</v>
      </c>
      <c r="AP87" s="152">
        <v>32</v>
      </c>
      <c r="AQ87" s="152">
        <v>24.271844863891602</v>
      </c>
      <c r="AR87" s="152">
        <v>7.7669901847839355</v>
      </c>
      <c r="AS87" s="152">
        <v>16.504854202270508</v>
      </c>
      <c r="AT87" s="152">
        <v>9.7087383270263672</v>
      </c>
      <c r="AU87" s="152">
        <v>41.747573852539063</v>
      </c>
      <c r="AV87" s="152">
        <v>10</v>
      </c>
      <c r="AW87" s="152">
        <v>49</v>
      </c>
      <c r="AX87" s="152">
        <v>47</v>
      </c>
      <c r="AY87" s="152">
        <v>74</v>
      </c>
      <c r="AZ87" s="152">
        <v>30</v>
      </c>
      <c r="BA87" s="152">
        <v>28</v>
      </c>
      <c r="BB87" s="152">
        <v>4.7619047164916992</v>
      </c>
      <c r="BC87" s="152">
        <v>23.333333969116211</v>
      </c>
      <c r="BD87" s="152">
        <v>22.380952835083008</v>
      </c>
      <c r="BE87" s="152">
        <v>35.238094329833984</v>
      </c>
      <c r="BF87" s="152">
        <v>14.285714149475098</v>
      </c>
    </row>
    <row r="88" spans="1:58" x14ac:dyDescent="0.3">
      <c r="A88" s="153" t="s">
        <v>390</v>
      </c>
      <c r="B88" s="153" t="s">
        <v>389</v>
      </c>
      <c r="C88" s="154">
        <v>8</v>
      </c>
      <c r="D88" s="154">
        <v>1</v>
      </c>
      <c r="E88" s="154">
        <v>620</v>
      </c>
      <c r="F88" s="154">
        <v>88.888885498046875</v>
      </c>
      <c r="G88" s="154">
        <v>11.111110687255859</v>
      </c>
      <c r="H88" s="154">
        <v>591</v>
      </c>
      <c r="I88" s="154">
        <v>9</v>
      </c>
      <c r="J88" s="154">
        <v>12</v>
      </c>
      <c r="K88" s="154">
        <v>4</v>
      </c>
      <c r="L88" s="154">
        <v>7</v>
      </c>
      <c r="M88" s="154">
        <v>6</v>
      </c>
      <c r="N88" s="154">
        <v>94.863563537597656</v>
      </c>
      <c r="O88" s="154">
        <v>1.4446227550506592</v>
      </c>
      <c r="P88" s="154">
        <v>1.9261636734008789</v>
      </c>
      <c r="Q88" s="154">
        <v>0.64205455780029297</v>
      </c>
      <c r="R88" s="154">
        <v>1.1235954761505127</v>
      </c>
      <c r="S88" s="154">
        <v>261</v>
      </c>
      <c r="T88" s="154">
        <v>80</v>
      </c>
      <c r="U88" s="154">
        <v>116</v>
      </c>
      <c r="V88" s="154">
        <v>97</v>
      </c>
      <c r="W88" s="154">
        <v>75</v>
      </c>
      <c r="X88" s="154">
        <v>41.494434356689453</v>
      </c>
      <c r="Y88" s="154">
        <v>12.718601226806641</v>
      </c>
      <c r="Z88" s="154">
        <v>18.441970825195313</v>
      </c>
      <c r="AA88" s="154">
        <v>15.421303749084473</v>
      </c>
      <c r="AB88" s="154">
        <v>11.923687934875488</v>
      </c>
      <c r="AC88" s="154">
        <v>43</v>
      </c>
      <c r="AD88" s="154">
        <v>6</v>
      </c>
      <c r="AE88" s="154">
        <v>576</v>
      </c>
      <c r="AF88" s="154">
        <v>4</v>
      </c>
      <c r="AG88" s="154">
        <v>6.8362479209899902</v>
      </c>
      <c r="AH88" s="154">
        <v>0.95389509201049805</v>
      </c>
      <c r="AI88" s="154">
        <v>91.573928833007813</v>
      </c>
      <c r="AJ88" s="154">
        <v>0.63593006134033203</v>
      </c>
      <c r="AK88" s="154">
        <v>200</v>
      </c>
      <c r="AL88" s="154">
        <v>53</v>
      </c>
      <c r="AM88" s="154">
        <v>82</v>
      </c>
      <c r="AN88" s="154">
        <v>44</v>
      </c>
      <c r="AO88" s="154">
        <v>212</v>
      </c>
      <c r="AP88" s="154">
        <v>38</v>
      </c>
      <c r="AQ88" s="154">
        <v>33.840946197509766</v>
      </c>
      <c r="AR88" s="154">
        <v>8.9678506851196289</v>
      </c>
      <c r="AS88" s="154">
        <v>13.874788284301758</v>
      </c>
      <c r="AT88" s="154">
        <v>7.4450082778930664</v>
      </c>
      <c r="AU88" s="154">
        <v>35.871402740478516</v>
      </c>
      <c r="AV88" s="154">
        <v>165</v>
      </c>
      <c r="AW88" s="154">
        <v>176</v>
      </c>
      <c r="AX88" s="154">
        <v>81</v>
      </c>
      <c r="AY88" s="154">
        <v>131</v>
      </c>
      <c r="AZ88" s="154">
        <v>45</v>
      </c>
      <c r="BA88" s="154">
        <v>31</v>
      </c>
      <c r="BB88" s="154">
        <v>27.591972351074219</v>
      </c>
      <c r="BC88" s="154">
        <v>29.431438446044922</v>
      </c>
      <c r="BD88" s="154">
        <v>13.545150756835938</v>
      </c>
      <c r="BE88" s="154">
        <v>21.906354904174805</v>
      </c>
      <c r="BF88" s="154">
        <v>7.5250835418701172</v>
      </c>
    </row>
    <row r="89" spans="1:58" x14ac:dyDescent="0.3">
      <c r="A89" s="151" t="s">
        <v>548</v>
      </c>
      <c r="B89" s="151" t="s">
        <v>547</v>
      </c>
      <c r="C89" s="152">
        <v>191</v>
      </c>
      <c r="D89" s="152">
        <v>18</v>
      </c>
      <c r="E89" s="152">
        <v>29</v>
      </c>
      <c r="F89" s="152">
        <v>91.387557983398438</v>
      </c>
      <c r="G89" s="152">
        <v>8.6124401092529297</v>
      </c>
      <c r="H89" s="152">
        <v>220</v>
      </c>
      <c r="I89" s="152">
        <v>2</v>
      </c>
      <c r="J89" s="152">
        <v>1</v>
      </c>
      <c r="K89" s="152">
        <v>15</v>
      </c>
      <c r="L89" s="152"/>
      <c r="M89" s="152"/>
      <c r="N89" s="152">
        <v>92.436973571777344</v>
      </c>
      <c r="O89" s="152">
        <v>0.8403361439704895</v>
      </c>
      <c r="P89" s="152">
        <v>0.42016807198524475</v>
      </c>
      <c r="Q89" s="152">
        <v>6.3025212287902832</v>
      </c>
      <c r="R89" s="152"/>
      <c r="S89" s="152">
        <v>98</v>
      </c>
      <c r="T89" s="152">
        <v>48</v>
      </c>
      <c r="U89" s="152">
        <v>36</v>
      </c>
      <c r="V89" s="152">
        <v>28</v>
      </c>
      <c r="W89" s="152">
        <v>28</v>
      </c>
      <c r="X89" s="152">
        <v>41.176471710205078</v>
      </c>
      <c r="Y89" s="152">
        <v>20.168067932128906</v>
      </c>
      <c r="Z89" s="152">
        <v>15.126049995422363</v>
      </c>
      <c r="AA89" s="152">
        <v>11.764705657958984</v>
      </c>
      <c r="AB89" s="152">
        <v>11.764705657958984</v>
      </c>
      <c r="AC89" s="152">
        <v>25</v>
      </c>
      <c r="AD89" s="152">
        <v>1</v>
      </c>
      <c r="AE89" s="152">
        <v>127</v>
      </c>
      <c r="AF89" s="152">
        <v>85</v>
      </c>
      <c r="AG89" s="152">
        <v>10.504201889038086</v>
      </c>
      <c r="AH89" s="152">
        <v>0.42016807198524475</v>
      </c>
      <c r="AI89" s="152">
        <v>53.361343383789063</v>
      </c>
      <c r="AJ89" s="152">
        <v>35.714286804199219</v>
      </c>
      <c r="AK89" s="152">
        <v>40</v>
      </c>
      <c r="AL89" s="152">
        <v>20</v>
      </c>
      <c r="AM89" s="152">
        <v>34</v>
      </c>
      <c r="AN89" s="152">
        <v>19</v>
      </c>
      <c r="AO89" s="152">
        <v>117</v>
      </c>
      <c r="AP89" s="152">
        <v>8</v>
      </c>
      <c r="AQ89" s="152">
        <v>17.391304016113281</v>
      </c>
      <c r="AR89" s="152">
        <v>8.6956520080566406</v>
      </c>
      <c r="AS89" s="152">
        <v>14.782608985900879</v>
      </c>
      <c r="AT89" s="152">
        <v>8.2608699798583984</v>
      </c>
      <c r="AU89" s="152">
        <v>50.869564056396484</v>
      </c>
      <c r="AV89" s="152">
        <v>44</v>
      </c>
      <c r="AW89" s="152">
        <v>56</v>
      </c>
      <c r="AX89" s="152">
        <v>43</v>
      </c>
      <c r="AY89" s="152">
        <v>49</v>
      </c>
      <c r="AZ89" s="152">
        <v>29</v>
      </c>
      <c r="BA89" s="152">
        <v>17</v>
      </c>
      <c r="BB89" s="152">
        <v>19.909502029418945</v>
      </c>
      <c r="BC89" s="152">
        <v>25.339366912841797</v>
      </c>
      <c r="BD89" s="152">
        <v>19.457014083862305</v>
      </c>
      <c r="BE89" s="152">
        <v>22.171945571899414</v>
      </c>
      <c r="BF89" s="152">
        <v>13.122172355651855</v>
      </c>
    </row>
    <row r="90" spans="1:58" x14ac:dyDescent="0.3">
      <c r="A90" s="153" t="s">
        <v>518</v>
      </c>
      <c r="B90" s="153" t="s">
        <v>517</v>
      </c>
      <c r="C90" s="154">
        <v>26</v>
      </c>
      <c r="D90" s="154">
        <v>4</v>
      </c>
      <c r="E90" s="154">
        <v>756</v>
      </c>
      <c r="F90" s="154">
        <v>86.666664123535156</v>
      </c>
      <c r="G90" s="154">
        <v>13.333333015441895</v>
      </c>
      <c r="H90" s="154">
        <v>643</v>
      </c>
      <c r="I90" s="154">
        <v>28</v>
      </c>
      <c r="J90" s="154">
        <v>49</v>
      </c>
      <c r="K90" s="154">
        <v>24</v>
      </c>
      <c r="L90" s="154">
        <v>19</v>
      </c>
      <c r="M90" s="154">
        <v>23</v>
      </c>
      <c r="N90" s="154">
        <v>84.272605895996094</v>
      </c>
      <c r="O90" s="154">
        <v>3.669724702835083</v>
      </c>
      <c r="P90" s="154">
        <v>6.4220185279846191</v>
      </c>
      <c r="Q90" s="154">
        <v>3.1454784870147705</v>
      </c>
      <c r="R90" s="154">
        <v>2.4901704788208008</v>
      </c>
      <c r="S90" s="154">
        <v>388</v>
      </c>
      <c r="T90" s="154">
        <v>143</v>
      </c>
      <c r="U90" s="154">
        <v>109</v>
      </c>
      <c r="V90" s="154">
        <v>72</v>
      </c>
      <c r="W90" s="154">
        <v>74</v>
      </c>
      <c r="X90" s="154">
        <v>49.363868713378906</v>
      </c>
      <c r="Y90" s="154">
        <v>18.193384170532227</v>
      </c>
      <c r="Z90" s="154">
        <v>13.867684364318848</v>
      </c>
      <c r="AA90" s="154">
        <v>9.1603050231933594</v>
      </c>
      <c r="AB90" s="154">
        <v>9.4147586822509766</v>
      </c>
      <c r="AC90" s="154">
        <v>44</v>
      </c>
      <c r="AD90" s="154">
        <v>13</v>
      </c>
      <c r="AE90" s="154">
        <v>368</v>
      </c>
      <c r="AF90" s="154">
        <v>361</v>
      </c>
      <c r="AG90" s="154">
        <v>5.5979642868041992</v>
      </c>
      <c r="AH90" s="154">
        <v>1.6539440155029297</v>
      </c>
      <c r="AI90" s="154">
        <v>46.819339752197266</v>
      </c>
      <c r="AJ90" s="154">
        <v>45.928752899169922</v>
      </c>
      <c r="AK90" s="154">
        <v>186</v>
      </c>
      <c r="AL90" s="154">
        <v>59</v>
      </c>
      <c r="AM90" s="154">
        <v>78</v>
      </c>
      <c r="AN90" s="154">
        <v>47</v>
      </c>
      <c r="AO90" s="154">
        <v>314</v>
      </c>
      <c r="AP90" s="154">
        <v>102</v>
      </c>
      <c r="AQ90" s="154">
        <v>27.192981719970703</v>
      </c>
      <c r="AR90" s="154">
        <v>8.6257314682006836</v>
      </c>
      <c r="AS90" s="154">
        <v>11.403509140014648</v>
      </c>
      <c r="AT90" s="154">
        <v>6.871345043182373</v>
      </c>
      <c r="AU90" s="154">
        <v>45.90643310546875</v>
      </c>
      <c r="AV90" s="154">
        <v>69</v>
      </c>
      <c r="AW90" s="154">
        <v>184</v>
      </c>
      <c r="AX90" s="154">
        <v>119</v>
      </c>
      <c r="AY90" s="154">
        <v>142</v>
      </c>
      <c r="AZ90" s="154">
        <v>48</v>
      </c>
      <c r="BA90" s="154">
        <v>224</v>
      </c>
      <c r="BB90" s="154">
        <v>12.277580261230469</v>
      </c>
      <c r="BC90" s="154">
        <v>32.740215301513672</v>
      </c>
      <c r="BD90" s="154">
        <v>21.17437744140625</v>
      </c>
      <c r="BE90" s="154">
        <v>25.266904830932617</v>
      </c>
      <c r="BF90" s="154">
        <v>8.5409250259399414</v>
      </c>
    </row>
    <row r="91" spans="1:58" x14ac:dyDescent="0.3">
      <c r="A91" s="151" t="s">
        <v>514</v>
      </c>
      <c r="B91" s="151" t="s">
        <v>513</v>
      </c>
      <c r="C91" s="152">
        <v>13</v>
      </c>
      <c r="D91" s="152">
        <v>4</v>
      </c>
      <c r="E91" s="152">
        <v>178</v>
      </c>
      <c r="F91" s="152">
        <v>76.470588684082031</v>
      </c>
      <c r="G91" s="152">
        <v>23.529411315917969</v>
      </c>
      <c r="H91" s="152">
        <v>128</v>
      </c>
      <c r="I91" s="152">
        <v>16</v>
      </c>
      <c r="J91" s="152">
        <v>15</v>
      </c>
      <c r="K91" s="152">
        <v>15</v>
      </c>
      <c r="L91" s="152">
        <v>14</v>
      </c>
      <c r="M91" s="152">
        <v>7</v>
      </c>
      <c r="N91" s="152">
        <v>68.085105895996094</v>
      </c>
      <c r="O91" s="152">
        <v>8.5106382369995117</v>
      </c>
      <c r="P91" s="152">
        <v>7.9787235260009766</v>
      </c>
      <c r="Q91" s="152">
        <v>7.9787235260009766</v>
      </c>
      <c r="R91" s="152">
        <v>7.4468083381652832</v>
      </c>
      <c r="S91" s="152">
        <v>31</v>
      </c>
      <c r="T91" s="152">
        <v>64</v>
      </c>
      <c r="U91" s="152">
        <v>48</v>
      </c>
      <c r="V91" s="152">
        <v>32</v>
      </c>
      <c r="W91" s="152">
        <v>20</v>
      </c>
      <c r="X91" s="152">
        <v>15.897436141967773</v>
      </c>
      <c r="Y91" s="152">
        <v>32.820514678955078</v>
      </c>
      <c r="Z91" s="152">
        <v>24.615385055541992</v>
      </c>
      <c r="AA91" s="152">
        <v>16.410257339477539</v>
      </c>
      <c r="AB91" s="152">
        <v>10.256410598754883</v>
      </c>
      <c r="AC91" s="152">
        <v>6</v>
      </c>
      <c r="AD91" s="152">
        <v>1</v>
      </c>
      <c r="AE91" s="152">
        <v>127</v>
      </c>
      <c r="AF91" s="152">
        <v>61</v>
      </c>
      <c r="AG91" s="152">
        <v>3.076923131942749</v>
      </c>
      <c r="AH91" s="152">
        <v>0.5128205418586731</v>
      </c>
      <c r="AI91" s="152">
        <v>65.128204345703125</v>
      </c>
      <c r="AJ91" s="152">
        <v>31.282051086425781</v>
      </c>
      <c r="AK91" s="152">
        <v>30</v>
      </c>
      <c r="AL91" s="152">
        <v>7</v>
      </c>
      <c r="AM91" s="152">
        <v>18</v>
      </c>
      <c r="AN91" s="152">
        <v>10</v>
      </c>
      <c r="AO91" s="152">
        <v>43</v>
      </c>
      <c r="AP91" s="152">
        <v>87</v>
      </c>
      <c r="AQ91" s="152">
        <v>27.777778625488281</v>
      </c>
      <c r="AR91" s="152">
        <v>6.4814815521240234</v>
      </c>
      <c r="AS91" s="152">
        <v>16.666666030883789</v>
      </c>
      <c r="AT91" s="152">
        <v>9.2592592239379883</v>
      </c>
      <c r="AU91" s="152">
        <v>39.814815521240234</v>
      </c>
      <c r="AV91" s="152">
        <v>24</v>
      </c>
      <c r="AW91" s="152">
        <v>14</v>
      </c>
      <c r="AX91" s="152">
        <v>4</v>
      </c>
      <c r="AY91" s="152">
        <v>3</v>
      </c>
      <c r="AZ91" s="152">
        <v>1</v>
      </c>
      <c r="BA91" s="152">
        <v>149</v>
      </c>
      <c r="BB91" s="152">
        <v>52.173912048339844</v>
      </c>
      <c r="BC91" s="152">
        <v>30.434782028198242</v>
      </c>
      <c r="BD91" s="152">
        <v>8.6956520080566406</v>
      </c>
      <c r="BE91" s="152">
        <v>6.5217390060424805</v>
      </c>
      <c r="BF91" s="152">
        <v>2.1739130020141602</v>
      </c>
    </row>
    <row r="92" spans="1:58" x14ac:dyDescent="0.3">
      <c r="A92" s="153" t="s">
        <v>496</v>
      </c>
      <c r="B92" s="153" t="s">
        <v>495</v>
      </c>
      <c r="C92" s="154">
        <v>85</v>
      </c>
      <c r="D92" s="154">
        <v>11</v>
      </c>
      <c r="E92" s="154">
        <v>270</v>
      </c>
      <c r="F92" s="154">
        <v>88.541664123535156</v>
      </c>
      <c r="G92" s="154">
        <v>11.458333015441895</v>
      </c>
      <c r="H92" s="154">
        <v>344</v>
      </c>
      <c r="I92" s="154">
        <v>5</v>
      </c>
      <c r="J92" s="154">
        <v>2</v>
      </c>
      <c r="K92" s="154">
        <v>2</v>
      </c>
      <c r="L92" s="154">
        <v>8</v>
      </c>
      <c r="M92" s="154">
        <v>5</v>
      </c>
      <c r="N92" s="154">
        <v>95.290855407714844</v>
      </c>
      <c r="O92" s="154">
        <v>1.3850415945053101</v>
      </c>
      <c r="P92" s="154">
        <v>0.55401664972305298</v>
      </c>
      <c r="Q92" s="154">
        <v>0.55401664972305298</v>
      </c>
      <c r="R92" s="154">
        <v>2.2160665988922119</v>
      </c>
      <c r="S92" s="154">
        <v>160</v>
      </c>
      <c r="T92" s="154">
        <v>67</v>
      </c>
      <c r="U92" s="154">
        <v>47</v>
      </c>
      <c r="V92" s="154">
        <v>48</v>
      </c>
      <c r="W92" s="154">
        <v>44</v>
      </c>
      <c r="X92" s="154">
        <v>43.715847015380859</v>
      </c>
      <c r="Y92" s="154">
        <v>18.306011199951172</v>
      </c>
      <c r="Z92" s="154">
        <v>12.841529846191406</v>
      </c>
      <c r="AA92" s="154">
        <v>13.114753723144531</v>
      </c>
      <c r="AB92" s="154">
        <v>12.021858215332031</v>
      </c>
      <c r="AC92" s="154">
        <v>26</v>
      </c>
      <c r="AD92" s="154">
        <v>14</v>
      </c>
      <c r="AE92" s="154">
        <v>202</v>
      </c>
      <c r="AF92" s="154">
        <v>124</v>
      </c>
      <c r="AG92" s="154">
        <v>7.1038250923156738</v>
      </c>
      <c r="AH92" s="154">
        <v>3.825136661529541</v>
      </c>
      <c r="AI92" s="154">
        <v>55.191257476806641</v>
      </c>
      <c r="AJ92" s="154">
        <v>33.879779815673828</v>
      </c>
      <c r="AK92" s="154">
        <v>107</v>
      </c>
      <c r="AL92" s="154">
        <v>24</v>
      </c>
      <c r="AM92" s="154">
        <v>51</v>
      </c>
      <c r="AN92" s="154">
        <v>23</v>
      </c>
      <c r="AO92" s="154">
        <v>125</v>
      </c>
      <c r="AP92" s="154">
        <v>36</v>
      </c>
      <c r="AQ92" s="154">
        <v>32.424243927001953</v>
      </c>
      <c r="AR92" s="154">
        <v>7.2727274894714355</v>
      </c>
      <c r="AS92" s="154">
        <v>15.454545021057129</v>
      </c>
      <c r="AT92" s="154">
        <v>6.9696969985961914</v>
      </c>
      <c r="AU92" s="154">
        <v>37.878787994384766</v>
      </c>
      <c r="AV92" s="154">
        <v>49</v>
      </c>
      <c r="AW92" s="154">
        <v>114</v>
      </c>
      <c r="AX92" s="154">
        <v>84</v>
      </c>
      <c r="AY92" s="154">
        <v>59</v>
      </c>
      <c r="AZ92" s="154">
        <v>9</v>
      </c>
      <c r="BA92" s="154">
        <v>51</v>
      </c>
      <c r="BB92" s="154">
        <v>15.55555534362793</v>
      </c>
      <c r="BC92" s="154">
        <v>36.190475463867188</v>
      </c>
      <c r="BD92" s="154">
        <v>26.666666030883789</v>
      </c>
      <c r="BE92" s="154">
        <v>18.730157852172852</v>
      </c>
      <c r="BF92" s="154">
        <v>2.8571429252624512</v>
      </c>
    </row>
    <row r="93" spans="1:58" x14ac:dyDescent="0.3">
      <c r="A93" s="151" t="s">
        <v>359</v>
      </c>
      <c r="B93" s="151" t="s">
        <v>358</v>
      </c>
      <c r="C93" s="152"/>
      <c r="D93" s="152"/>
      <c r="E93" s="152">
        <v>261</v>
      </c>
      <c r="F93" s="152"/>
      <c r="G93" s="152"/>
      <c r="H93" s="152">
        <v>238</v>
      </c>
      <c r="I93" s="152">
        <v>4</v>
      </c>
      <c r="J93" s="152">
        <v>3</v>
      </c>
      <c r="K93" s="152">
        <v>1</v>
      </c>
      <c r="L93" s="152">
        <v>3</v>
      </c>
      <c r="M93" s="152">
        <v>12</v>
      </c>
      <c r="N93" s="152">
        <v>95.582328796386719</v>
      </c>
      <c r="O93" s="152">
        <v>1.6064257621765137</v>
      </c>
      <c r="P93" s="152">
        <v>1.2048193216323853</v>
      </c>
      <c r="Q93" s="152">
        <v>0.40160644054412842</v>
      </c>
      <c r="R93" s="152">
        <v>1.2048193216323853</v>
      </c>
      <c r="S93" s="152">
        <v>18</v>
      </c>
      <c r="T93" s="152">
        <v>25</v>
      </c>
      <c r="U93" s="152">
        <v>75</v>
      </c>
      <c r="V93" s="152">
        <v>62</v>
      </c>
      <c r="W93" s="152">
        <v>81</v>
      </c>
      <c r="X93" s="152">
        <v>6.8965516090393066</v>
      </c>
      <c r="Y93" s="152">
        <v>9.5785436630249023</v>
      </c>
      <c r="Z93" s="152">
        <v>28.735631942749023</v>
      </c>
      <c r="AA93" s="152">
        <v>23.754789352416992</v>
      </c>
      <c r="AB93" s="152">
        <v>31.034482955932617</v>
      </c>
      <c r="AC93" s="152">
        <v>24</v>
      </c>
      <c r="AD93" s="152">
        <v>1</v>
      </c>
      <c r="AE93" s="152">
        <v>155</v>
      </c>
      <c r="AF93" s="152">
        <v>81</v>
      </c>
      <c r="AG93" s="152">
        <v>9.1954021453857422</v>
      </c>
      <c r="AH93" s="152">
        <v>0.38314175605773926</v>
      </c>
      <c r="AI93" s="152">
        <v>59.386974334716797</v>
      </c>
      <c r="AJ93" s="152">
        <v>31.034482955932617</v>
      </c>
      <c r="AK93" s="152">
        <v>48</v>
      </c>
      <c r="AL93" s="152">
        <v>13</v>
      </c>
      <c r="AM93" s="152">
        <v>31</v>
      </c>
      <c r="AN93" s="152">
        <v>25</v>
      </c>
      <c r="AO93" s="152">
        <v>134</v>
      </c>
      <c r="AP93" s="152">
        <v>10</v>
      </c>
      <c r="AQ93" s="152">
        <v>19.123506546020508</v>
      </c>
      <c r="AR93" s="152">
        <v>5.1792826652526855</v>
      </c>
      <c r="AS93" s="152">
        <v>12.350597381591797</v>
      </c>
      <c r="AT93" s="152">
        <v>9.9601593017578125</v>
      </c>
      <c r="AU93" s="152">
        <v>53.386455535888672</v>
      </c>
      <c r="AV93" s="152">
        <v>46</v>
      </c>
      <c r="AW93" s="152">
        <v>84</v>
      </c>
      <c r="AX93" s="152">
        <v>64</v>
      </c>
      <c r="AY93" s="152">
        <v>50</v>
      </c>
      <c r="AZ93" s="152">
        <v>6</v>
      </c>
      <c r="BA93" s="152">
        <v>11</v>
      </c>
      <c r="BB93" s="152">
        <v>18.399999618530273</v>
      </c>
      <c r="BC93" s="152">
        <v>33.599998474121094</v>
      </c>
      <c r="BD93" s="152">
        <v>25.600000381469727</v>
      </c>
      <c r="BE93" s="152">
        <v>20</v>
      </c>
      <c r="BF93" s="152">
        <v>2.4000000953674316</v>
      </c>
    </row>
    <row r="94" spans="1:58" x14ac:dyDescent="0.3">
      <c r="A94" s="153" t="s">
        <v>431</v>
      </c>
      <c r="B94" s="153" t="s">
        <v>430</v>
      </c>
      <c r="C94" s="154">
        <v>149</v>
      </c>
      <c r="D94" s="154">
        <v>10</v>
      </c>
      <c r="E94" s="154">
        <v>187</v>
      </c>
      <c r="F94" s="154">
        <v>93.710693359375</v>
      </c>
      <c r="G94" s="154">
        <v>6.2893080711364746</v>
      </c>
      <c r="H94" s="154">
        <v>319</v>
      </c>
      <c r="I94" s="154">
        <v>5</v>
      </c>
      <c r="J94" s="154">
        <v>1</v>
      </c>
      <c r="K94" s="154">
        <v>4</v>
      </c>
      <c r="L94" s="154">
        <v>2</v>
      </c>
      <c r="M94" s="154">
        <v>15</v>
      </c>
      <c r="N94" s="154">
        <v>96.374626159667969</v>
      </c>
      <c r="O94" s="154">
        <v>1.5105739831924438</v>
      </c>
      <c r="P94" s="154">
        <v>0.3021148145198822</v>
      </c>
      <c r="Q94" s="154">
        <v>1.2084592580795288</v>
      </c>
      <c r="R94" s="154">
        <v>0.6042296290397644</v>
      </c>
      <c r="S94" s="154">
        <v>98</v>
      </c>
      <c r="T94" s="154">
        <v>90</v>
      </c>
      <c r="U94" s="154">
        <v>62</v>
      </c>
      <c r="V94" s="154">
        <v>46</v>
      </c>
      <c r="W94" s="154">
        <v>50</v>
      </c>
      <c r="X94" s="154">
        <v>28.323699951171875</v>
      </c>
      <c r="Y94" s="154">
        <v>26.011560440063477</v>
      </c>
      <c r="Z94" s="154">
        <v>17.919075012207031</v>
      </c>
      <c r="AA94" s="154">
        <v>13.294797897338867</v>
      </c>
      <c r="AB94" s="154">
        <v>14.45086669921875</v>
      </c>
      <c r="AC94" s="154">
        <v>19</v>
      </c>
      <c r="AD94" s="154">
        <v>7</v>
      </c>
      <c r="AE94" s="154">
        <v>193</v>
      </c>
      <c r="AF94" s="154">
        <v>127</v>
      </c>
      <c r="AG94" s="154">
        <v>5.4913296699523926</v>
      </c>
      <c r="AH94" s="154">
        <v>2.0231213569641113</v>
      </c>
      <c r="AI94" s="154">
        <v>55.780345916748047</v>
      </c>
      <c r="AJ94" s="154">
        <v>36.705204010009766</v>
      </c>
      <c r="AK94" s="154">
        <v>53</v>
      </c>
      <c r="AL94" s="154">
        <v>17</v>
      </c>
      <c r="AM94" s="154">
        <v>31</v>
      </c>
      <c r="AN94" s="154">
        <v>30</v>
      </c>
      <c r="AO94" s="154">
        <v>140</v>
      </c>
      <c r="AP94" s="154">
        <v>75</v>
      </c>
      <c r="AQ94" s="154">
        <v>19.557195663452148</v>
      </c>
      <c r="AR94" s="154">
        <v>6.2730627059936523</v>
      </c>
      <c r="AS94" s="154">
        <v>11.439114570617676</v>
      </c>
      <c r="AT94" s="154">
        <v>11.070110321044922</v>
      </c>
      <c r="AU94" s="154">
        <v>51.660514831542969</v>
      </c>
      <c r="AV94" s="154">
        <v>33</v>
      </c>
      <c r="AW94" s="154">
        <v>81</v>
      </c>
      <c r="AX94" s="154">
        <v>39</v>
      </c>
      <c r="AY94" s="154">
        <v>38</v>
      </c>
      <c r="AZ94" s="154">
        <v>11</v>
      </c>
      <c r="BA94" s="154">
        <v>144</v>
      </c>
      <c r="BB94" s="154">
        <v>16.336633682250977</v>
      </c>
      <c r="BC94" s="154">
        <v>40.099010467529297</v>
      </c>
      <c r="BD94" s="154">
        <v>19.306930541992188</v>
      </c>
      <c r="BE94" s="154">
        <v>18.811882019042969</v>
      </c>
      <c r="BF94" s="154">
        <v>5.4455447196960449</v>
      </c>
    </row>
    <row r="95" spans="1:58" x14ac:dyDescent="0.3">
      <c r="A95" s="151" t="s">
        <v>526</v>
      </c>
      <c r="B95" s="151" t="s">
        <v>525</v>
      </c>
      <c r="C95" s="152">
        <v>329</v>
      </c>
      <c r="D95" s="152">
        <v>21</v>
      </c>
      <c r="E95" s="152">
        <v>33</v>
      </c>
      <c r="F95" s="152">
        <v>94</v>
      </c>
      <c r="G95" s="152">
        <v>6</v>
      </c>
      <c r="H95" s="152">
        <v>312</v>
      </c>
      <c r="I95" s="152">
        <v>24</v>
      </c>
      <c r="J95" s="152">
        <v>13</v>
      </c>
      <c r="K95" s="152">
        <v>10</v>
      </c>
      <c r="L95" s="152">
        <v>6</v>
      </c>
      <c r="M95" s="152">
        <v>18</v>
      </c>
      <c r="N95" s="152">
        <v>85.479454040527344</v>
      </c>
      <c r="O95" s="152">
        <v>6.5753426551818848</v>
      </c>
      <c r="P95" s="152">
        <v>3.5616438388824463</v>
      </c>
      <c r="Q95" s="152">
        <v>2.7397260665893555</v>
      </c>
      <c r="R95" s="152">
        <v>1.6438356637954712</v>
      </c>
      <c r="S95" s="152">
        <v>78</v>
      </c>
      <c r="T95" s="152">
        <v>56</v>
      </c>
      <c r="U95" s="152">
        <v>87</v>
      </c>
      <c r="V95" s="152">
        <v>85</v>
      </c>
      <c r="W95" s="152">
        <v>77</v>
      </c>
      <c r="X95" s="152">
        <v>20.365535736083984</v>
      </c>
      <c r="Y95" s="152">
        <v>14.621410369873047</v>
      </c>
      <c r="Z95" s="152">
        <v>22.715404510498047</v>
      </c>
      <c r="AA95" s="152">
        <v>22.193210601806641</v>
      </c>
      <c r="AB95" s="152">
        <v>20.104438781738281</v>
      </c>
      <c r="AC95" s="152">
        <v>39</v>
      </c>
      <c r="AD95" s="152">
        <v>1</v>
      </c>
      <c r="AE95" s="152">
        <v>184</v>
      </c>
      <c r="AF95" s="152">
        <v>159</v>
      </c>
      <c r="AG95" s="152">
        <v>10.182767868041992</v>
      </c>
      <c r="AH95" s="152">
        <v>0.26109659671783447</v>
      </c>
      <c r="AI95" s="152">
        <v>48.041774749755859</v>
      </c>
      <c r="AJ95" s="152">
        <v>41.514358520507813</v>
      </c>
      <c r="AK95" s="152">
        <v>58</v>
      </c>
      <c r="AL95" s="152">
        <v>27</v>
      </c>
      <c r="AM95" s="152">
        <v>51</v>
      </c>
      <c r="AN95" s="152">
        <v>33</v>
      </c>
      <c r="AO95" s="152">
        <v>202</v>
      </c>
      <c r="AP95" s="152">
        <v>12</v>
      </c>
      <c r="AQ95" s="152">
        <v>15.6334228515625</v>
      </c>
      <c r="AR95" s="152">
        <v>7.2776279449462891</v>
      </c>
      <c r="AS95" s="152">
        <v>13.746630668640137</v>
      </c>
      <c r="AT95" s="152">
        <v>8.8948783874511719</v>
      </c>
      <c r="AU95" s="152">
        <v>54.447441101074219</v>
      </c>
      <c r="AV95" s="152">
        <v>48</v>
      </c>
      <c r="AW95" s="152">
        <v>138</v>
      </c>
      <c r="AX95" s="152">
        <v>71</v>
      </c>
      <c r="AY95" s="152">
        <v>76</v>
      </c>
      <c r="AZ95" s="152">
        <v>35</v>
      </c>
      <c r="BA95" s="152">
        <v>15</v>
      </c>
      <c r="BB95" s="152">
        <v>13.043478012084961</v>
      </c>
      <c r="BC95" s="152">
        <v>37.5</v>
      </c>
      <c r="BD95" s="152">
        <v>19.293478012084961</v>
      </c>
      <c r="BE95" s="152">
        <v>20.65217399597168</v>
      </c>
      <c r="BF95" s="152">
        <v>9.5108699798583984</v>
      </c>
    </row>
    <row r="96" spans="1:58" x14ac:dyDescent="0.3">
      <c r="A96" s="153" t="s">
        <v>435</v>
      </c>
      <c r="B96" s="153" t="s">
        <v>434</v>
      </c>
      <c r="C96" s="154">
        <v>160</v>
      </c>
      <c r="D96" s="154">
        <v>16</v>
      </c>
      <c r="E96" s="154">
        <v>223</v>
      </c>
      <c r="F96" s="154">
        <v>90.909088134765625</v>
      </c>
      <c r="G96" s="154">
        <v>9.0909090042114258</v>
      </c>
      <c r="H96" s="154">
        <v>302</v>
      </c>
      <c r="I96" s="154">
        <v>15</v>
      </c>
      <c r="J96" s="154">
        <v>18</v>
      </c>
      <c r="K96" s="154">
        <v>10</v>
      </c>
      <c r="L96" s="154">
        <v>26</v>
      </c>
      <c r="M96" s="154">
        <v>28</v>
      </c>
      <c r="N96" s="154">
        <v>81.401618957519531</v>
      </c>
      <c r="O96" s="154">
        <v>4.0431265830993652</v>
      </c>
      <c r="P96" s="154">
        <v>4.8517518043518066</v>
      </c>
      <c r="Q96" s="154">
        <v>2.6954178810119629</v>
      </c>
      <c r="R96" s="154">
        <v>7.0080862045288086</v>
      </c>
      <c r="S96" s="154">
        <v>14</v>
      </c>
      <c r="T96" s="154">
        <v>40</v>
      </c>
      <c r="U96" s="154">
        <v>60</v>
      </c>
      <c r="V96" s="154">
        <v>118</v>
      </c>
      <c r="W96" s="154">
        <v>167</v>
      </c>
      <c r="X96" s="154">
        <v>3.5087718963623047</v>
      </c>
      <c r="Y96" s="154">
        <v>10.025062561035156</v>
      </c>
      <c r="Z96" s="154">
        <v>15.037593841552734</v>
      </c>
      <c r="AA96" s="154">
        <v>29.573934555053711</v>
      </c>
      <c r="AB96" s="154">
        <v>41.854637145996094</v>
      </c>
      <c r="AC96" s="154">
        <v>32</v>
      </c>
      <c r="AD96" s="154">
        <v>11</v>
      </c>
      <c r="AE96" s="154">
        <v>306</v>
      </c>
      <c r="AF96" s="154">
        <v>50</v>
      </c>
      <c r="AG96" s="154">
        <v>8.020050048828125</v>
      </c>
      <c r="AH96" s="154">
        <v>2.756892204284668</v>
      </c>
      <c r="AI96" s="154">
        <v>76.691726684570313</v>
      </c>
      <c r="AJ96" s="154">
        <v>12.531328201293945</v>
      </c>
      <c r="AK96" s="154">
        <v>111</v>
      </c>
      <c r="AL96" s="154">
        <v>28</v>
      </c>
      <c r="AM96" s="154">
        <v>47</v>
      </c>
      <c r="AN96" s="154">
        <v>31</v>
      </c>
      <c r="AO96" s="154">
        <v>145</v>
      </c>
      <c r="AP96" s="154">
        <v>37</v>
      </c>
      <c r="AQ96" s="154">
        <v>30.662982940673828</v>
      </c>
      <c r="AR96" s="154">
        <v>7.7348065376281738</v>
      </c>
      <c r="AS96" s="154">
        <v>12.983425140380859</v>
      </c>
      <c r="AT96" s="154">
        <v>8.5635356903076172</v>
      </c>
      <c r="AU96" s="154">
        <v>40.055248260498047</v>
      </c>
      <c r="AV96" s="154">
        <v>97</v>
      </c>
      <c r="AW96" s="154">
        <v>119</v>
      </c>
      <c r="AX96" s="154">
        <v>68</v>
      </c>
      <c r="AY96" s="154">
        <v>66</v>
      </c>
      <c r="AZ96" s="154">
        <v>12</v>
      </c>
      <c r="BA96" s="154">
        <v>37</v>
      </c>
      <c r="BB96" s="154">
        <v>26.79557991027832</v>
      </c>
      <c r="BC96" s="154">
        <v>32.872928619384766</v>
      </c>
      <c r="BD96" s="154">
        <v>18.784530639648438</v>
      </c>
      <c r="BE96" s="154">
        <v>18.232044219970703</v>
      </c>
      <c r="BF96" s="154">
        <v>3.3149170875549316</v>
      </c>
    </row>
    <row r="97" spans="1:58" x14ac:dyDescent="0.3">
      <c r="A97" s="151" t="s">
        <v>267</v>
      </c>
      <c r="B97" s="151" t="s">
        <v>266</v>
      </c>
      <c r="C97" s="152">
        <v>6</v>
      </c>
      <c r="D97" s="152"/>
      <c r="E97" s="152">
        <v>161</v>
      </c>
      <c r="F97" s="152"/>
      <c r="G97" s="152"/>
      <c r="H97" s="152">
        <v>131</v>
      </c>
      <c r="I97" s="152">
        <v>8</v>
      </c>
      <c r="J97" s="152">
        <v>10</v>
      </c>
      <c r="K97" s="152"/>
      <c r="L97" s="152">
        <v>8</v>
      </c>
      <c r="M97" s="152">
        <v>10</v>
      </c>
      <c r="N97" s="152">
        <v>83.439491271972656</v>
      </c>
      <c r="O97" s="152">
        <v>5.0955414772033691</v>
      </c>
      <c r="P97" s="152">
        <v>6.3694267272949219</v>
      </c>
      <c r="Q97" s="152"/>
      <c r="R97" s="152">
        <v>5.0955414772033691</v>
      </c>
      <c r="S97" s="152">
        <v>1</v>
      </c>
      <c r="T97" s="152">
        <v>22</v>
      </c>
      <c r="U97" s="152">
        <v>40</v>
      </c>
      <c r="V97" s="152">
        <v>42</v>
      </c>
      <c r="W97" s="152">
        <v>62</v>
      </c>
      <c r="X97" s="152">
        <v>0.59880238771438599</v>
      </c>
      <c r="Y97" s="152">
        <v>13.173652648925781</v>
      </c>
      <c r="Z97" s="152">
        <v>23.952095031738281</v>
      </c>
      <c r="AA97" s="152">
        <v>25.149700164794922</v>
      </c>
      <c r="AB97" s="152">
        <v>37.125747680664063</v>
      </c>
      <c r="AC97" s="152">
        <v>12</v>
      </c>
      <c r="AD97" s="152"/>
      <c r="AE97" s="152">
        <v>75</v>
      </c>
      <c r="AF97" s="152">
        <v>80</v>
      </c>
      <c r="AG97" s="152">
        <v>7.1856288909912109</v>
      </c>
      <c r="AH97" s="152"/>
      <c r="AI97" s="152">
        <v>44.910179138183594</v>
      </c>
      <c r="AJ97" s="152">
        <v>47.904190063476563</v>
      </c>
      <c r="AK97" s="152">
        <v>19</v>
      </c>
      <c r="AL97" s="152">
        <v>7</v>
      </c>
      <c r="AM97" s="152">
        <v>15</v>
      </c>
      <c r="AN97" s="152">
        <v>11</v>
      </c>
      <c r="AO97" s="152">
        <v>56</v>
      </c>
      <c r="AP97" s="152">
        <v>59</v>
      </c>
      <c r="AQ97" s="152">
        <v>17.592592239379883</v>
      </c>
      <c r="AR97" s="152">
        <v>6.4814815521240234</v>
      </c>
      <c r="AS97" s="152">
        <v>13.888889312744141</v>
      </c>
      <c r="AT97" s="152">
        <v>10.185185432434082</v>
      </c>
      <c r="AU97" s="152">
        <v>51.851852416992188</v>
      </c>
      <c r="AV97" s="152">
        <v>40</v>
      </c>
      <c r="AW97" s="152">
        <v>55</v>
      </c>
      <c r="AX97" s="152">
        <v>23</v>
      </c>
      <c r="AY97" s="152">
        <v>15</v>
      </c>
      <c r="AZ97" s="152">
        <v>2</v>
      </c>
      <c r="BA97" s="152">
        <v>32</v>
      </c>
      <c r="BB97" s="152">
        <v>29.629629135131836</v>
      </c>
      <c r="BC97" s="152">
        <v>40.740741729736328</v>
      </c>
      <c r="BD97" s="152">
        <v>17.037036895751953</v>
      </c>
      <c r="BE97" s="152">
        <v>11.111110687255859</v>
      </c>
      <c r="BF97" s="152">
        <v>1.4814814329147339</v>
      </c>
    </row>
    <row r="98" spans="1:58" x14ac:dyDescent="0.3">
      <c r="A98" s="153" t="s">
        <v>484</v>
      </c>
      <c r="B98" s="153" t="s">
        <v>483</v>
      </c>
      <c r="C98" s="154">
        <v>132</v>
      </c>
      <c r="D98" s="154">
        <v>18</v>
      </c>
      <c r="E98" s="154">
        <v>34</v>
      </c>
      <c r="F98" s="154">
        <v>88</v>
      </c>
      <c r="G98" s="154">
        <v>12</v>
      </c>
      <c r="H98" s="154">
        <v>144</v>
      </c>
      <c r="I98" s="154">
        <v>11</v>
      </c>
      <c r="J98" s="154">
        <v>6</v>
      </c>
      <c r="K98" s="154">
        <v>4</v>
      </c>
      <c r="L98" s="154">
        <v>5</v>
      </c>
      <c r="M98" s="154">
        <v>14</v>
      </c>
      <c r="N98" s="154">
        <v>84.705879211425781</v>
      </c>
      <c r="O98" s="154">
        <v>6.470588207244873</v>
      </c>
      <c r="P98" s="154">
        <v>3.529411792755127</v>
      </c>
      <c r="Q98" s="154">
        <v>2.3529412746429443</v>
      </c>
      <c r="R98" s="154">
        <v>2.9411764144897461</v>
      </c>
      <c r="S98" s="154">
        <v>4</v>
      </c>
      <c r="T98" s="154">
        <v>37</v>
      </c>
      <c r="U98" s="154">
        <v>55</v>
      </c>
      <c r="V98" s="154">
        <v>41</v>
      </c>
      <c r="W98" s="154">
        <v>47</v>
      </c>
      <c r="X98" s="154">
        <v>2.1739130020141602</v>
      </c>
      <c r="Y98" s="154">
        <v>20.108695983886719</v>
      </c>
      <c r="Z98" s="154">
        <v>29.891304016113281</v>
      </c>
      <c r="AA98" s="154">
        <v>22.282608032226563</v>
      </c>
      <c r="AB98" s="154">
        <v>25.543478012084961</v>
      </c>
      <c r="AC98" s="154">
        <v>13</v>
      </c>
      <c r="AD98" s="154">
        <v>4</v>
      </c>
      <c r="AE98" s="154">
        <v>114</v>
      </c>
      <c r="AF98" s="154">
        <v>53</v>
      </c>
      <c r="AG98" s="154">
        <v>7.0652174949645996</v>
      </c>
      <c r="AH98" s="154">
        <v>2.1739130020141602</v>
      </c>
      <c r="AI98" s="154">
        <v>61.956520080566406</v>
      </c>
      <c r="AJ98" s="154">
        <v>28.804347991943359</v>
      </c>
      <c r="AK98" s="154">
        <v>38</v>
      </c>
      <c r="AL98" s="154">
        <v>18</v>
      </c>
      <c r="AM98" s="154">
        <v>34</v>
      </c>
      <c r="AN98" s="154">
        <v>14</v>
      </c>
      <c r="AO98" s="154">
        <v>78</v>
      </c>
      <c r="AP98" s="154">
        <v>2</v>
      </c>
      <c r="AQ98" s="154">
        <v>20.879121780395508</v>
      </c>
      <c r="AR98" s="154">
        <v>9.8901100158691406</v>
      </c>
      <c r="AS98" s="154">
        <v>18.681318283081055</v>
      </c>
      <c r="AT98" s="154">
        <v>7.6923074722290039</v>
      </c>
      <c r="AU98" s="154">
        <v>42.857143402099609</v>
      </c>
      <c r="AV98" s="154">
        <v>19</v>
      </c>
      <c r="AW98" s="154">
        <v>83</v>
      </c>
      <c r="AX98" s="154">
        <v>38</v>
      </c>
      <c r="AY98" s="154">
        <v>31</v>
      </c>
      <c r="AZ98" s="154">
        <v>9</v>
      </c>
      <c r="BA98" s="154">
        <v>4</v>
      </c>
      <c r="BB98" s="154">
        <v>10.55555534362793</v>
      </c>
      <c r="BC98" s="154">
        <v>46.111110687255859</v>
      </c>
      <c r="BD98" s="154">
        <v>21.111110687255859</v>
      </c>
      <c r="BE98" s="154">
        <v>17.222221374511719</v>
      </c>
      <c r="BF98" s="154">
        <v>5</v>
      </c>
    </row>
    <row r="99" spans="1:58" x14ac:dyDescent="0.3">
      <c r="A99" s="151" t="s">
        <v>470</v>
      </c>
      <c r="B99" s="151" t="s">
        <v>469</v>
      </c>
      <c r="C99" s="152">
        <v>18</v>
      </c>
      <c r="D99" s="152">
        <v>3</v>
      </c>
      <c r="E99" s="152">
        <v>289</v>
      </c>
      <c r="F99" s="152">
        <v>85.714286804199219</v>
      </c>
      <c r="G99" s="152">
        <v>14.285714149475098</v>
      </c>
      <c r="H99" s="152">
        <v>293</v>
      </c>
      <c r="I99" s="152">
        <v>1</v>
      </c>
      <c r="J99" s="152">
        <v>6</v>
      </c>
      <c r="K99" s="152">
        <v>3</v>
      </c>
      <c r="L99" s="152">
        <v>2</v>
      </c>
      <c r="M99" s="152">
        <v>5</v>
      </c>
      <c r="N99" s="152">
        <v>96.065574645996094</v>
      </c>
      <c r="O99" s="152">
        <v>0.32786884903907776</v>
      </c>
      <c r="P99" s="152">
        <v>1.9672131538391113</v>
      </c>
      <c r="Q99" s="152">
        <v>0.98360657691955566</v>
      </c>
      <c r="R99" s="152">
        <v>0.65573769807815552</v>
      </c>
      <c r="S99" s="152">
        <v>131</v>
      </c>
      <c r="T99" s="152">
        <v>49</v>
      </c>
      <c r="U99" s="152">
        <v>48</v>
      </c>
      <c r="V99" s="152">
        <v>54</v>
      </c>
      <c r="W99" s="152">
        <v>28</v>
      </c>
      <c r="X99" s="152">
        <v>42.258064270019531</v>
      </c>
      <c r="Y99" s="152">
        <v>15.806451797485352</v>
      </c>
      <c r="Z99" s="152">
        <v>15.483870506286621</v>
      </c>
      <c r="AA99" s="152">
        <v>17.419355392456055</v>
      </c>
      <c r="AB99" s="152">
        <v>9.0322580337524414</v>
      </c>
      <c r="AC99" s="152">
        <v>24</v>
      </c>
      <c r="AD99" s="152">
        <v>6</v>
      </c>
      <c r="AE99" s="152">
        <v>186</v>
      </c>
      <c r="AF99" s="152">
        <v>94</v>
      </c>
      <c r="AG99" s="152">
        <v>7.7419352531433105</v>
      </c>
      <c r="AH99" s="152">
        <v>1.9354838132858276</v>
      </c>
      <c r="AI99" s="152">
        <v>60</v>
      </c>
      <c r="AJ99" s="152">
        <v>30.322580337524414</v>
      </c>
      <c r="AK99" s="152">
        <v>74</v>
      </c>
      <c r="AL99" s="152">
        <v>14</v>
      </c>
      <c r="AM99" s="152">
        <v>29</v>
      </c>
      <c r="AN99" s="152">
        <v>17</v>
      </c>
      <c r="AO99" s="152">
        <v>100</v>
      </c>
      <c r="AP99" s="152">
        <v>76</v>
      </c>
      <c r="AQ99" s="152">
        <v>31.623931884765625</v>
      </c>
      <c r="AR99" s="152">
        <v>5.9829058647155762</v>
      </c>
      <c r="AS99" s="152">
        <v>12.393162727355957</v>
      </c>
      <c r="AT99" s="152">
        <v>7.2649574279785156</v>
      </c>
      <c r="AU99" s="152">
        <v>42.735042572021484</v>
      </c>
      <c r="AV99" s="152">
        <v>47</v>
      </c>
      <c r="AW99" s="152">
        <v>98</v>
      </c>
      <c r="AX99" s="152">
        <v>75</v>
      </c>
      <c r="AY99" s="152">
        <v>60</v>
      </c>
      <c r="AZ99" s="152">
        <v>6</v>
      </c>
      <c r="BA99" s="152">
        <v>24</v>
      </c>
      <c r="BB99" s="152">
        <v>16.433567047119141</v>
      </c>
      <c r="BC99" s="152">
        <v>34.265735626220703</v>
      </c>
      <c r="BD99" s="152">
        <v>26.223775863647461</v>
      </c>
      <c r="BE99" s="152">
        <v>20.979021072387695</v>
      </c>
      <c r="BF99" s="152">
        <v>2.0979020595550537</v>
      </c>
    </row>
    <row r="100" spans="1:58" x14ac:dyDescent="0.3">
      <c r="A100" s="153" t="s">
        <v>530</v>
      </c>
      <c r="B100" s="153" t="s">
        <v>529</v>
      </c>
      <c r="C100" s="154">
        <v>117</v>
      </c>
      <c r="D100" s="154">
        <v>13</v>
      </c>
      <c r="E100" s="154">
        <v>112</v>
      </c>
      <c r="F100" s="154">
        <v>90</v>
      </c>
      <c r="G100" s="154">
        <v>10</v>
      </c>
      <c r="H100" s="154">
        <v>205</v>
      </c>
      <c r="I100" s="154">
        <v>13</v>
      </c>
      <c r="J100" s="154">
        <v>7</v>
      </c>
      <c r="K100" s="154"/>
      <c r="L100" s="154">
        <v>7</v>
      </c>
      <c r="M100" s="154">
        <v>10</v>
      </c>
      <c r="N100" s="154">
        <v>88.362068176269531</v>
      </c>
      <c r="O100" s="154">
        <v>5.6034483909606934</v>
      </c>
      <c r="P100" s="154">
        <v>3.0172414779663086</v>
      </c>
      <c r="Q100" s="154"/>
      <c r="R100" s="154">
        <v>3.0172414779663086</v>
      </c>
      <c r="S100" s="154">
        <v>65</v>
      </c>
      <c r="T100" s="154">
        <v>43</v>
      </c>
      <c r="U100" s="154">
        <v>53</v>
      </c>
      <c r="V100" s="154">
        <v>49</v>
      </c>
      <c r="W100" s="154">
        <v>32</v>
      </c>
      <c r="X100" s="154">
        <v>26.859504699707031</v>
      </c>
      <c r="Y100" s="154">
        <v>17.768594741821289</v>
      </c>
      <c r="Z100" s="154">
        <v>21.900825500488281</v>
      </c>
      <c r="AA100" s="154">
        <v>20.247934341430664</v>
      </c>
      <c r="AB100" s="154">
        <v>13.223140716552734</v>
      </c>
      <c r="AC100" s="154">
        <v>26</v>
      </c>
      <c r="AD100" s="154">
        <v>4</v>
      </c>
      <c r="AE100" s="154">
        <v>129</v>
      </c>
      <c r="AF100" s="154">
        <v>83</v>
      </c>
      <c r="AG100" s="154">
        <v>10.743802070617676</v>
      </c>
      <c r="AH100" s="154">
        <v>1.6528925895690918</v>
      </c>
      <c r="AI100" s="154">
        <v>53.3057861328125</v>
      </c>
      <c r="AJ100" s="154">
        <v>34.297519683837891</v>
      </c>
      <c r="AK100" s="154">
        <v>42</v>
      </c>
      <c r="AL100" s="154">
        <v>13</v>
      </c>
      <c r="AM100" s="154">
        <v>29</v>
      </c>
      <c r="AN100" s="154">
        <v>19</v>
      </c>
      <c r="AO100" s="154">
        <v>123</v>
      </c>
      <c r="AP100" s="154">
        <v>16</v>
      </c>
      <c r="AQ100" s="154">
        <v>18.584070205688477</v>
      </c>
      <c r="AR100" s="154">
        <v>5.7522125244140625</v>
      </c>
      <c r="AS100" s="154">
        <v>12.83185863494873</v>
      </c>
      <c r="AT100" s="154">
        <v>8.4070796966552734</v>
      </c>
      <c r="AU100" s="154">
        <v>54.424777984619141</v>
      </c>
      <c r="AV100" s="154">
        <v>59</v>
      </c>
      <c r="AW100" s="154">
        <v>74</v>
      </c>
      <c r="AX100" s="154">
        <v>46</v>
      </c>
      <c r="AY100" s="154">
        <v>42</v>
      </c>
      <c r="AZ100" s="154">
        <v>16</v>
      </c>
      <c r="BA100" s="154">
        <v>5</v>
      </c>
      <c r="BB100" s="154">
        <v>24.894514083862305</v>
      </c>
      <c r="BC100" s="154">
        <v>31.223628997802734</v>
      </c>
      <c r="BD100" s="154">
        <v>19.409282684326172</v>
      </c>
      <c r="BE100" s="154">
        <v>17.721519470214844</v>
      </c>
      <c r="BF100" s="154">
        <v>6.7510547637939453</v>
      </c>
    </row>
    <row r="101" spans="1:58" x14ac:dyDescent="0.3">
      <c r="A101" s="151" t="s">
        <v>416</v>
      </c>
      <c r="B101" s="151" t="s">
        <v>415</v>
      </c>
      <c r="C101" s="152">
        <v>81</v>
      </c>
      <c r="D101" s="152">
        <v>7</v>
      </c>
      <c r="E101" s="152">
        <v>205</v>
      </c>
      <c r="F101" s="152">
        <v>92.045455932617188</v>
      </c>
      <c r="G101" s="152">
        <v>7.9545454978942871</v>
      </c>
      <c r="H101" s="152">
        <v>247</v>
      </c>
      <c r="I101" s="152">
        <v>11</v>
      </c>
      <c r="J101" s="152">
        <v>10</v>
      </c>
      <c r="K101" s="152">
        <v>6</v>
      </c>
      <c r="L101" s="152">
        <v>2</v>
      </c>
      <c r="M101" s="152">
        <v>17</v>
      </c>
      <c r="N101" s="152">
        <v>89.492752075195313</v>
      </c>
      <c r="O101" s="152">
        <v>3.9855072498321533</v>
      </c>
      <c r="P101" s="152">
        <v>3.6231884956359863</v>
      </c>
      <c r="Q101" s="152">
        <v>2.1739130020141602</v>
      </c>
      <c r="R101" s="152">
        <v>0.72463768720626831</v>
      </c>
      <c r="S101" s="152">
        <v>41</v>
      </c>
      <c r="T101" s="152">
        <v>58</v>
      </c>
      <c r="U101" s="152">
        <v>65</v>
      </c>
      <c r="V101" s="152">
        <v>59</v>
      </c>
      <c r="W101" s="152">
        <v>70</v>
      </c>
      <c r="X101" s="152">
        <v>13.993173599243164</v>
      </c>
      <c r="Y101" s="152">
        <v>19.795221328735352</v>
      </c>
      <c r="Z101" s="152">
        <v>22.184299468994141</v>
      </c>
      <c r="AA101" s="152">
        <v>20.136518478393555</v>
      </c>
      <c r="AB101" s="152">
        <v>23.890785217285156</v>
      </c>
      <c r="AC101" s="152">
        <v>20</v>
      </c>
      <c r="AD101" s="152">
        <v>1</v>
      </c>
      <c r="AE101" s="152">
        <v>131</v>
      </c>
      <c r="AF101" s="152">
        <v>141</v>
      </c>
      <c r="AG101" s="152">
        <v>6.8259387016296387</v>
      </c>
      <c r="AH101" s="152">
        <v>0.34129694104194641</v>
      </c>
      <c r="AI101" s="152">
        <v>44.709896087646484</v>
      </c>
      <c r="AJ101" s="152">
        <v>48.122867584228516</v>
      </c>
      <c r="AK101" s="152">
        <v>46</v>
      </c>
      <c r="AL101" s="152">
        <v>14</v>
      </c>
      <c r="AM101" s="152">
        <v>32</v>
      </c>
      <c r="AN101" s="152">
        <v>22</v>
      </c>
      <c r="AO101" s="152">
        <v>130</v>
      </c>
      <c r="AP101" s="152">
        <v>49</v>
      </c>
      <c r="AQ101" s="152">
        <v>18.852458953857422</v>
      </c>
      <c r="AR101" s="152">
        <v>5.7377047538757324</v>
      </c>
      <c r="AS101" s="152">
        <v>13.114753723144531</v>
      </c>
      <c r="AT101" s="152">
        <v>9.0163936614990234</v>
      </c>
      <c r="AU101" s="152">
        <v>53.278690338134766</v>
      </c>
      <c r="AV101" s="152">
        <v>61</v>
      </c>
      <c r="AW101" s="152">
        <v>68</v>
      </c>
      <c r="AX101" s="152">
        <v>65</v>
      </c>
      <c r="AY101" s="152">
        <v>45</v>
      </c>
      <c r="AZ101" s="152">
        <v>9</v>
      </c>
      <c r="BA101" s="152">
        <v>45</v>
      </c>
      <c r="BB101" s="152">
        <v>24.596775054931641</v>
      </c>
      <c r="BC101" s="152">
        <v>27.419355392456055</v>
      </c>
      <c r="BD101" s="152">
        <v>26.209676742553711</v>
      </c>
      <c r="BE101" s="152">
        <v>18.145160675048828</v>
      </c>
      <c r="BF101" s="152">
        <v>3.6290323734283447</v>
      </c>
    </row>
    <row r="102" spans="1:58" x14ac:dyDescent="0.3">
      <c r="A102" s="153" t="s">
        <v>350</v>
      </c>
      <c r="B102" s="153" t="s">
        <v>349</v>
      </c>
      <c r="C102" s="154">
        <v>150</v>
      </c>
      <c r="D102" s="154">
        <v>16</v>
      </c>
      <c r="E102" s="154">
        <v>31</v>
      </c>
      <c r="F102" s="154">
        <v>90.361442565917969</v>
      </c>
      <c r="G102" s="154">
        <v>9.638554573059082</v>
      </c>
      <c r="H102" s="154">
        <v>175</v>
      </c>
      <c r="I102" s="154">
        <v>5</v>
      </c>
      <c r="J102" s="154">
        <v>2</v>
      </c>
      <c r="K102" s="154">
        <v>4</v>
      </c>
      <c r="L102" s="154">
        <v>8</v>
      </c>
      <c r="M102" s="154">
        <v>3</v>
      </c>
      <c r="N102" s="154">
        <v>90.206184387207031</v>
      </c>
      <c r="O102" s="154">
        <v>2.5773196220397949</v>
      </c>
      <c r="P102" s="154">
        <v>1.0309277772903442</v>
      </c>
      <c r="Q102" s="154">
        <v>2.0618555545806885</v>
      </c>
      <c r="R102" s="154">
        <v>4.123711109161377</v>
      </c>
      <c r="S102" s="154">
        <v>6</v>
      </c>
      <c r="T102" s="154">
        <v>22</v>
      </c>
      <c r="U102" s="154">
        <v>27</v>
      </c>
      <c r="V102" s="154">
        <v>60</v>
      </c>
      <c r="W102" s="154">
        <v>82</v>
      </c>
      <c r="X102" s="154">
        <v>3.0456852912902832</v>
      </c>
      <c r="Y102" s="154">
        <v>11.167512893676758</v>
      </c>
      <c r="Z102" s="154">
        <v>13.705583572387695</v>
      </c>
      <c r="AA102" s="154">
        <v>30.456851959228516</v>
      </c>
      <c r="AB102" s="154">
        <v>41.624366760253906</v>
      </c>
      <c r="AC102" s="154">
        <v>12</v>
      </c>
      <c r="AD102" s="154">
        <v>1</v>
      </c>
      <c r="AE102" s="154">
        <v>175</v>
      </c>
      <c r="AF102" s="154">
        <v>9</v>
      </c>
      <c r="AG102" s="154">
        <v>6.0913705825805664</v>
      </c>
      <c r="AH102" s="154">
        <v>0.50761419534683228</v>
      </c>
      <c r="AI102" s="154">
        <v>88.832489013671875</v>
      </c>
      <c r="AJ102" s="154">
        <v>4.5685276985168457</v>
      </c>
      <c r="AK102" s="154">
        <v>41</v>
      </c>
      <c r="AL102" s="154">
        <v>11</v>
      </c>
      <c r="AM102" s="154">
        <v>23</v>
      </c>
      <c r="AN102" s="154">
        <v>15</v>
      </c>
      <c r="AO102" s="154">
        <v>92</v>
      </c>
      <c r="AP102" s="154">
        <v>15</v>
      </c>
      <c r="AQ102" s="154">
        <v>22.527473449707031</v>
      </c>
      <c r="AR102" s="154">
        <v>6.0439562797546387</v>
      </c>
      <c r="AS102" s="154">
        <v>12.637362480163574</v>
      </c>
      <c r="AT102" s="154">
        <v>8.2417583465576172</v>
      </c>
      <c r="AU102" s="154">
        <v>50.549449920654297</v>
      </c>
      <c r="AV102" s="154">
        <v>30</v>
      </c>
      <c r="AW102" s="154">
        <v>62</v>
      </c>
      <c r="AX102" s="154">
        <v>30</v>
      </c>
      <c r="AY102" s="154">
        <v>35</v>
      </c>
      <c r="AZ102" s="154">
        <v>7</v>
      </c>
      <c r="BA102" s="154">
        <v>33</v>
      </c>
      <c r="BB102" s="154">
        <v>18.292682647705078</v>
      </c>
      <c r="BC102" s="154">
        <v>37.804878234863281</v>
      </c>
      <c r="BD102" s="154">
        <v>18.292682647705078</v>
      </c>
      <c r="BE102" s="154">
        <v>21.341463088989258</v>
      </c>
      <c r="BF102" s="154">
        <v>4.2682929039001465</v>
      </c>
    </row>
    <row r="103" spans="1:58" x14ac:dyDescent="0.3">
      <c r="A103" s="151" t="s">
        <v>341</v>
      </c>
      <c r="B103" s="151" t="s">
        <v>340</v>
      </c>
      <c r="C103" s="152">
        <v>169</v>
      </c>
      <c r="D103" s="152">
        <v>23</v>
      </c>
      <c r="E103" s="152">
        <v>283</v>
      </c>
      <c r="F103" s="152">
        <v>88.020835876464844</v>
      </c>
      <c r="G103" s="152">
        <v>11.979166984558105</v>
      </c>
      <c r="H103" s="152">
        <v>413</v>
      </c>
      <c r="I103" s="152">
        <v>13</v>
      </c>
      <c r="J103" s="152">
        <v>7</v>
      </c>
      <c r="K103" s="152">
        <v>6</v>
      </c>
      <c r="L103" s="152">
        <v>9</v>
      </c>
      <c r="M103" s="152">
        <v>27</v>
      </c>
      <c r="N103" s="152">
        <v>92.1875</v>
      </c>
      <c r="O103" s="152">
        <v>2.9017856121063232</v>
      </c>
      <c r="P103" s="152">
        <v>1.5625</v>
      </c>
      <c r="Q103" s="152">
        <v>1.3392857313156128</v>
      </c>
      <c r="R103" s="152">
        <v>2.0089285373687744</v>
      </c>
      <c r="S103" s="152">
        <v>111</v>
      </c>
      <c r="T103" s="152">
        <v>107</v>
      </c>
      <c r="U103" s="152">
        <v>107</v>
      </c>
      <c r="V103" s="152">
        <v>99</v>
      </c>
      <c r="W103" s="152">
        <v>51</v>
      </c>
      <c r="X103" s="152">
        <v>23.36842155456543</v>
      </c>
      <c r="Y103" s="152">
        <v>22.526315689086914</v>
      </c>
      <c r="Z103" s="152">
        <v>22.526315689086914</v>
      </c>
      <c r="AA103" s="152">
        <v>20.842105865478516</v>
      </c>
      <c r="AB103" s="152">
        <v>10.736842155456543</v>
      </c>
      <c r="AC103" s="152">
        <v>33</v>
      </c>
      <c r="AD103" s="152">
        <v>2</v>
      </c>
      <c r="AE103" s="152">
        <v>311</v>
      </c>
      <c r="AF103" s="152">
        <v>129</v>
      </c>
      <c r="AG103" s="152">
        <v>6.9473686218261719</v>
      </c>
      <c r="AH103" s="152">
        <v>0.42105263471603394</v>
      </c>
      <c r="AI103" s="152">
        <v>65.473686218261719</v>
      </c>
      <c r="AJ103" s="152">
        <v>27.157894134521484</v>
      </c>
      <c r="AK103" s="152">
        <v>54</v>
      </c>
      <c r="AL103" s="152">
        <v>42</v>
      </c>
      <c r="AM103" s="152">
        <v>57</v>
      </c>
      <c r="AN103" s="152">
        <v>38</v>
      </c>
      <c r="AO103" s="152">
        <v>189</v>
      </c>
      <c r="AP103" s="152">
        <v>95</v>
      </c>
      <c r="AQ103" s="152">
        <v>14.210526466369629</v>
      </c>
      <c r="AR103" s="152">
        <v>11.052631378173828</v>
      </c>
      <c r="AS103" s="152">
        <v>15</v>
      </c>
      <c r="AT103" s="152">
        <v>10</v>
      </c>
      <c r="AU103" s="152">
        <v>49.736843109130859</v>
      </c>
      <c r="AV103" s="152">
        <v>58</v>
      </c>
      <c r="AW103" s="152">
        <v>152</v>
      </c>
      <c r="AX103" s="152">
        <v>90</v>
      </c>
      <c r="AY103" s="152">
        <v>79</v>
      </c>
      <c r="AZ103" s="152">
        <v>25</v>
      </c>
      <c r="BA103" s="152">
        <v>71</v>
      </c>
      <c r="BB103" s="152">
        <v>14.356435775756836</v>
      </c>
      <c r="BC103" s="152">
        <v>37.623764038085938</v>
      </c>
      <c r="BD103" s="152">
        <v>22.277227401733398</v>
      </c>
      <c r="BE103" s="152">
        <v>19.554454803466797</v>
      </c>
      <c r="BF103" s="152">
        <v>6.1881189346313477</v>
      </c>
    </row>
    <row r="104" spans="1:58" x14ac:dyDescent="0.3">
      <c r="A104" s="153" t="s">
        <v>423</v>
      </c>
      <c r="B104" s="153" t="s">
        <v>422</v>
      </c>
      <c r="C104" s="154">
        <v>234</v>
      </c>
      <c r="D104" s="154">
        <v>14</v>
      </c>
      <c r="E104" s="154">
        <v>38</v>
      </c>
      <c r="F104" s="154">
        <v>94.354835510253906</v>
      </c>
      <c r="G104" s="154">
        <v>5.6451611518859863</v>
      </c>
      <c r="H104" s="154">
        <v>262</v>
      </c>
      <c r="I104" s="154">
        <v>4</v>
      </c>
      <c r="J104" s="154">
        <v>4</v>
      </c>
      <c r="K104" s="154">
        <v>3</v>
      </c>
      <c r="L104" s="154">
        <v>6</v>
      </c>
      <c r="M104" s="154">
        <v>7</v>
      </c>
      <c r="N104" s="154">
        <v>93.906806945800781</v>
      </c>
      <c r="O104" s="154">
        <v>1.4336917400360107</v>
      </c>
      <c r="P104" s="154">
        <v>1.4336917400360107</v>
      </c>
      <c r="Q104" s="154">
        <v>1.0752688646316528</v>
      </c>
      <c r="R104" s="154">
        <v>2.1505377292633057</v>
      </c>
      <c r="S104" s="154">
        <v>140</v>
      </c>
      <c r="T104" s="154">
        <v>51</v>
      </c>
      <c r="U104" s="154">
        <v>36</v>
      </c>
      <c r="V104" s="154">
        <v>38</v>
      </c>
      <c r="W104" s="154">
        <v>21</v>
      </c>
      <c r="X104" s="154">
        <v>48.9510498046875</v>
      </c>
      <c r="Y104" s="154">
        <v>17.832168579101563</v>
      </c>
      <c r="Z104" s="154">
        <v>12.58741283416748</v>
      </c>
      <c r="AA104" s="154">
        <v>13.286713600158691</v>
      </c>
      <c r="AB104" s="154">
        <v>7.3426575660705566</v>
      </c>
      <c r="AC104" s="154">
        <v>16</v>
      </c>
      <c r="AD104" s="154">
        <v>5</v>
      </c>
      <c r="AE104" s="154">
        <v>186</v>
      </c>
      <c r="AF104" s="154">
        <v>79</v>
      </c>
      <c r="AG104" s="154">
        <v>5.5944056510925293</v>
      </c>
      <c r="AH104" s="154">
        <v>1.7482517957687378</v>
      </c>
      <c r="AI104" s="154">
        <v>65.034965515136719</v>
      </c>
      <c r="AJ104" s="154">
        <v>27.622377395629883</v>
      </c>
      <c r="AK104" s="154">
        <v>63</v>
      </c>
      <c r="AL104" s="154">
        <v>21</v>
      </c>
      <c r="AM104" s="154">
        <v>29</v>
      </c>
      <c r="AN104" s="154">
        <v>19</v>
      </c>
      <c r="AO104" s="154">
        <v>145</v>
      </c>
      <c r="AP104" s="154">
        <v>9</v>
      </c>
      <c r="AQ104" s="154">
        <v>22.743682861328125</v>
      </c>
      <c r="AR104" s="154">
        <v>7.5812273025512695</v>
      </c>
      <c r="AS104" s="154">
        <v>10.469313621520996</v>
      </c>
      <c r="AT104" s="154">
        <v>6.8592057228088379</v>
      </c>
      <c r="AU104" s="154">
        <v>52.346569061279297</v>
      </c>
      <c r="AV104" s="154">
        <v>63</v>
      </c>
      <c r="AW104" s="154">
        <v>84</v>
      </c>
      <c r="AX104" s="154">
        <v>58</v>
      </c>
      <c r="AY104" s="154">
        <v>56</v>
      </c>
      <c r="AZ104" s="154">
        <v>18</v>
      </c>
      <c r="BA104" s="154">
        <v>7</v>
      </c>
      <c r="BB104" s="154">
        <v>22.580644607543945</v>
      </c>
      <c r="BC104" s="154">
        <v>30.107526779174805</v>
      </c>
      <c r="BD104" s="154">
        <v>20.788530349731445</v>
      </c>
      <c r="BE104" s="154">
        <v>20.071683883666992</v>
      </c>
      <c r="BF104" s="154">
        <v>6.4516129493713379</v>
      </c>
    </row>
    <row r="105" spans="1:58" x14ac:dyDescent="0.3">
      <c r="A105" s="151" t="s">
        <v>476</v>
      </c>
      <c r="B105" s="151" t="s">
        <v>475</v>
      </c>
      <c r="C105" s="152">
        <v>41</v>
      </c>
      <c r="D105" s="152">
        <v>5</v>
      </c>
      <c r="E105" s="152">
        <v>103</v>
      </c>
      <c r="F105" s="152">
        <v>89.13043212890625</v>
      </c>
      <c r="G105" s="152">
        <v>10.869565010070801</v>
      </c>
      <c r="H105" s="152">
        <v>145</v>
      </c>
      <c r="I105" s="152">
        <v>1</v>
      </c>
      <c r="J105" s="152"/>
      <c r="K105" s="152">
        <v>1</v>
      </c>
      <c r="L105" s="152">
        <v>1</v>
      </c>
      <c r="M105" s="152">
        <v>1</v>
      </c>
      <c r="N105" s="152">
        <v>97.972976684570313</v>
      </c>
      <c r="O105" s="152">
        <v>0.67567569017410278</v>
      </c>
      <c r="P105" s="152"/>
      <c r="Q105" s="152">
        <v>0.67567569017410278</v>
      </c>
      <c r="R105" s="152">
        <v>0.67567569017410278</v>
      </c>
      <c r="S105" s="152">
        <v>41</v>
      </c>
      <c r="T105" s="152">
        <v>17</v>
      </c>
      <c r="U105" s="152">
        <v>35</v>
      </c>
      <c r="V105" s="152">
        <v>31</v>
      </c>
      <c r="W105" s="152">
        <v>25</v>
      </c>
      <c r="X105" s="152">
        <v>27.516778945922852</v>
      </c>
      <c r="Y105" s="152">
        <v>11.409396171569824</v>
      </c>
      <c r="Z105" s="152">
        <v>23.489933013916016</v>
      </c>
      <c r="AA105" s="152">
        <v>20.805368423461914</v>
      </c>
      <c r="AB105" s="152">
        <v>16.778524398803711</v>
      </c>
      <c r="AC105" s="152">
        <v>13</v>
      </c>
      <c r="AD105" s="152"/>
      <c r="AE105" s="152">
        <v>58</v>
      </c>
      <c r="AF105" s="152">
        <v>78</v>
      </c>
      <c r="AG105" s="152">
        <v>8.7248325347900391</v>
      </c>
      <c r="AH105" s="152"/>
      <c r="AI105" s="152">
        <v>38.926174163818359</v>
      </c>
      <c r="AJ105" s="152">
        <v>52.348991394042969</v>
      </c>
      <c r="AK105" s="152">
        <v>19</v>
      </c>
      <c r="AL105" s="152">
        <v>9</v>
      </c>
      <c r="AM105" s="152">
        <v>11</v>
      </c>
      <c r="AN105" s="152">
        <v>6</v>
      </c>
      <c r="AO105" s="152">
        <v>57</v>
      </c>
      <c r="AP105" s="152">
        <v>47</v>
      </c>
      <c r="AQ105" s="152">
        <v>18.627450942993164</v>
      </c>
      <c r="AR105" s="152">
        <v>8.8235292434692383</v>
      </c>
      <c r="AS105" s="152">
        <v>10.784314155578613</v>
      </c>
      <c r="AT105" s="152">
        <v>5.8823528289794922</v>
      </c>
      <c r="AU105" s="152">
        <v>55.882354736328125</v>
      </c>
      <c r="AV105" s="152">
        <v>17</v>
      </c>
      <c r="AW105" s="152">
        <v>23</v>
      </c>
      <c r="AX105" s="152">
        <v>32</v>
      </c>
      <c r="AY105" s="152">
        <v>30</v>
      </c>
      <c r="AZ105" s="152">
        <v>8</v>
      </c>
      <c r="BA105" s="152">
        <v>39</v>
      </c>
      <c r="BB105" s="152">
        <v>15.454545021057129</v>
      </c>
      <c r="BC105" s="152">
        <v>20.909090042114258</v>
      </c>
      <c r="BD105" s="152">
        <v>29.090909957885742</v>
      </c>
      <c r="BE105" s="152">
        <v>27.272727966308594</v>
      </c>
      <c r="BF105" s="152">
        <v>7.2727274894714355</v>
      </c>
    </row>
    <row r="106" spans="1:58" x14ac:dyDescent="0.3">
      <c r="A106" s="153" t="s">
        <v>374</v>
      </c>
      <c r="B106" s="153" t="s">
        <v>373</v>
      </c>
      <c r="C106" s="154">
        <v>147</v>
      </c>
      <c r="D106" s="154">
        <v>10</v>
      </c>
      <c r="E106" s="154">
        <v>307</v>
      </c>
      <c r="F106" s="154">
        <v>93.630569458007813</v>
      </c>
      <c r="G106" s="154">
        <v>6.3694267272949219</v>
      </c>
      <c r="H106" s="154">
        <v>383</v>
      </c>
      <c r="I106" s="154">
        <v>20</v>
      </c>
      <c r="J106" s="154">
        <v>8</v>
      </c>
      <c r="K106" s="154">
        <v>9</v>
      </c>
      <c r="L106" s="154">
        <v>5</v>
      </c>
      <c r="M106" s="154">
        <v>39</v>
      </c>
      <c r="N106" s="154">
        <v>90.117645263671875</v>
      </c>
      <c r="O106" s="154">
        <v>4.7058825492858887</v>
      </c>
      <c r="P106" s="154">
        <v>1.8823529481887817</v>
      </c>
      <c r="Q106" s="154">
        <v>2.1176471710205078</v>
      </c>
      <c r="R106" s="154">
        <v>1.1764706373214722</v>
      </c>
      <c r="S106" s="154">
        <v>184</v>
      </c>
      <c r="T106" s="154">
        <v>83</v>
      </c>
      <c r="U106" s="154">
        <v>84</v>
      </c>
      <c r="V106" s="154">
        <v>51</v>
      </c>
      <c r="W106" s="154">
        <v>62</v>
      </c>
      <c r="X106" s="154">
        <v>39.655174255371094</v>
      </c>
      <c r="Y106" s="154">
        <v>17.887931823730469</v>
      </c>
      <c r="Z106" s="154">
        <v>18.103448867797852</v>
      </c>
      <c r="AA106" s="154">
        <v>10.991379737854004</v>
      </c>
      <c r="AB106" s="154">
        <v>13.362069129943848</v>
      </c>
      <c r="AC106" s="154">
        <v>24</v>
      </c>
      <c r="AD106" s="154">
        <v>3</v>
      </c>
      <c r="AE106" s="154">
        <v>228</v>
      </c>
      <c r="AF106" s="154">
        <v>209</v>
      </c>
      <c r="AG106" s="154">
        <v>5.1724138259887695</v>
      </c>
      <c r="AH106" s="154">
        <v>0.64655172824859619</v>
      </c>
      <c r="AI106" s="154">
        <v>49.137931823730469</v>
      </c>
      <c r="AJ106" s="154">
        <v>45.043102264404297</v>
      </c>
      <c r="AK106" s="154">
        <v>113</v>
      </c>
      <c r="AL106" s="154">
        <v>43</v>
      </c>
      <c r="AM106" s="154">
        <v>63</v>
      </c>
      <c r="AN106" s="154">
        <v>38</v>
      </c>
      <c r="AO106" s="154">
        <v>154</v>
      </c>
      <c r="AP106" s="154">
        <v>53</v>
      </c>
      <c r="AQ106" s="154">
        <v>27.493917465209961</v>
      </c>
      <c r="AR106" s="154">
        <v>10.462286949157715</v>
      </c>
      <c r="AS106" s="154">
        <v>15.32846736907959</v>
      </c>
      <c r="AT106" s="154">
        <v>9.2457418441772461</v>
      </c>
      <c r="AU106" s="154">
        <v>37.469585418701172</v>
      </c>
      <c r="AV106" s="154">
        <v>107</v>
      </c>
      <c r="AW106" s="154">
        <v>123</v>
      </c>
      <c r="AX106" s="154">
        <v>79</v>
      </c>
      <c r="AY106" s="154">
        <v>74</v>
      </c>
      <c r="AZ106" s="154">
        <v>35</v>
      </c>
      <c r="BA106" s="154">
        <v>46</v>
      </c>
      <c r="BB106" s="154">
        <v>25.598085403442383</v>
      </c>
      <c r="BC106" s="154">
        <v>29.425836563110352</v>
      </c>
      <c r="BD106" s="154">
        <v>18.899520874023438</v>
      </c>
      <c r="BE106" s="154">
        <v>17.703350067138672</v>
      </c>
      <c r="BF106" s="154">
        <v>8.3732061386108398</v>
      </c>
    </row>
    <row r="107" spans="1:58" x14ac:dyDescent="0.3">
      <c r="A107" s="151" t="s">
        <v>512</v>
      </c>
      <c r="B107" s="151" t="s">
        <v>511</v>
      </c>
      <c r="C107" s="152">
        <v>38</v>
      </c>
      <c r="D107" s="152">
        <v>2</v>
      </c>
      <c r="E107" s="152">
        <v>365</v>
      </c>
      <c r="F107" s="152">
        <v>95</v>
      </c>
      <c r="G107" s="152">
        <v>5</v>
      </c>
      <c r="H107" s="152">
        <v>373</v>
      </c>
      <c r="I107" s="152">
        <v>11</v>
      </c>
      <c r="J107" s="152">
        <v>3</v>
      </c>
      <c r="K107" s="152">
        <v>2</v>
      </c>
      <c r="L107" s="152">
        <v>3</v>
      </c>
      <c r="M107" s="152">
        <v>13</v>
      </c>
      <c r="N107" s="152">
        <v>95.153060913085938</v>
      </c>
      <c r="O107" s="152">
        <v>2.8061225414276123</v>
      </c>
      <c r="P107" s="152">
        <v>0.76530611515045166</v>
      </c>
      <c r="Q107" s="152">
        <v>0.51020407676696777</v>
      </c>
      <c r="R107" s="152">
        <v>0.76530611515045166</v>
      </c>
      <c r="S107" s="152">
        <v>95</v>
      </c>
      <c r="T107" s="152">
        <v>100</v>
      </c>
      <c r="U107" s="152">
        <v>82</v>
      </c>
      <c r="V107" s="152">
        <v>69</v>
      </c>
      <c r="W107" s="152">
        <v>59</v>
      </c>
      <c r="X107" s="152">
        <v>23.456790924072266</v>
      </c>
      <c r="Y107" s="152">
        <v>24.69135856628418</v>
      </c>
      <c r="Z107" s="152">
        <v>20.246913909912109</v>
      </c>
      <c r="AA107" s="152">
        <v>17.037036895751953</v>
      </c>
      <c r="AB107" s="152">
        <v>14.567901611328125</v>
      </c>
      <c r="AC107" s="152">
        <v>25</v>
      </c>
      <c r="AD107" s="152">
        <v>5</v>
      </c>
      <c r="AE107" s="152">
        <v>197</v>
      </c>
      <c r="AF107" s="152">
        <v>178</v>
      </c>
      <c r="AG107" s="152">
        <v>6.1728396415710449</v>
      </c>
      <c r="AH107" s="152">
        <v>1.2345678806304932</v>
      </c>
      <c r="AI107" s="152">
        <v>48.641975402832031</v>
      </c>
      <c r="AJ107" s="152">
        <v>43.950618743896484</v>
      </c>
      <c r="AK107" s="152">
        <v>54</v>
      </c>
      <c r="AL107" s="152">
        <v>32</v>
      </c>
      <c r="AM107" s="152">
        <v>45</v>
      </c>
      <c r="AN107" s="152">
        <v>40</v>
      </c>
      <c r="AO107" s="152">
        <v>198</v>
      </c>
      <c r="AP107" s="152">
        <v>36</v>
      </c>
      <c r="AQ107" s="152">
        <v>14.634146690368652</v>
      </c>
      <c r="AR107" s="152">
        <v>8.6720867156982422</v>
      </c>
      <c r="AS107" s="152">
        <v>12.195121765136719</v>
      </c>
      <c r="AT107" s="152">
        <v>10.840108871459961</v>
      </c>
      <c r="AU107" s="152">
        <v>53.658535003662109</v>
      </c>
      <c r="AV107" s="152">
        <v>74</v>
      </c>
      <c r="AW107" s="152">
        <v>99</v>
      </c>
      <c r="AX107" s="152">
        <v>55</v>
      </c>
      <c r="AY107" s="152">
        <v>66</v>
      </c>
      <c r="AZ107" s="152">
        <v>23</v>
      </c>
      <c r="BA107" s="152">
        <v>88</v>
      </c>
      <c r="BB107" s="152">
        <v>23.343849182128906</v>
      </c>
      <c r="BC107" s="152">
        <v>31.230283737182617</v>
      </c>
      <c r="BD107" s="152">
        <v>17.350156784057617</v>
      </c>
      <c r="BE107" s="152">
        <v>20.820188522338867</v>
      </c>
      <c r="BF107" s="152">
        <v>7.2555203437805176</v>
      </c>
    </row>
    <row r="108" spans="1:58" x14ac:dyDescent="0.3">
      <c r="A108" s="153" t="s">
        <v>528</v>
      </c>
      <c r="B108" s="153" t="s">
        <v>527</v>
      </c>
      <c r="C108" s="154">
        <v>201</v>
      </c>
      <c r="D108" s="154">
        <v>26</v>
      </c>
      <c r="E108" s="154">
        <v>376</v>
      </c>
      <c r="F108" s="154">
        <v>88.546257019042969</v>
      </c>
      <c r="G108" s="154">
        <v>11.453744888305664</v>
      </c>
      <c r="H108" s="154">
        <v>530</v>
      </c>
      <c r="I108" s="154">
        <v>4</v>
      </c>
      <c r="J108" s="154">
        <v>45</v>
      </c>
      <c r="K108" s="154">
        <v>6</v>
      </c>
      <c r="L108" s="154">
        <v>14</v>
      </c>
      <c r="M108" s="154">
        <v>4</v>
      </c>
      <c r="N108" s="154">
        <v>88.480804443359375</v>
      </c>
      <c r="O108" s="154">
        <v>0.66777962446212769</v>
      </c>
      <c r="P108" s="154">
        <v>7.5125207901000977</v>
      </c>
      <c r="Q108" s="154">
        <v>1.0016694068908691</v>
      </c>
      <c r="R108" s="154">
        <v>2.3372287750244141</v>
      </c>
      <c r="S108" s="154">
        <v>93</v>
      </c>
      <c r="T108" s="154">
        <v>101</v>
      </c>
      <c r="U108" s="154">
        <v>122</v>
      </c>
      <c r="V108" s="154">
        <v>148</v>
      </c>
      <c r="W108" s="154">
        <v>139</v>
      </c>
      <c r="X108" s="154">
        <v>15.422885894775391</v>
      </c>
      <c r="Y108" s="154">
        <v>16.74958610534668</v>
      </c>
      <c r="Z108" s="154">
        <v>20.232172012329102</v>
      </c>
      <c r="AA108" s="154">
        <v>24.543947219848633</v>
      </c>
      <c r="AB108" s="154">
        <v>23.051408767700195</v>
      </c>
      <c r="AC108" s="154">
        <v>46</v>
      </c>
      <c r="AD108" s="154">
        <v>9</v>
      </c>
      <c r="AE108" s="154">
        <v>292</v>
      </c>
      <c r="AF108" s="154">
        <v>256</v>
      </c>
      <c r="AG108" s="154">
        <v>7.6285238265991211</v>
      </c>
      <c r="AH108" s="154">
        <v>1.492537260055542</v>
      </c>
      <c r="AI108" s="154">
        <v>48.424545288085938</v>
      </c>
      <c r="AJ108" s="154">
        <v>42.454395294189453</v>
      </c>
      <c r="AK108" s="154">
        <v>112</v>
      </c>
      <c r="AL108" s="154">
        <v>32</v>
      </c>
      <c r="AM108" s="154">
        <v>63</v>
      </c>
      <c r="AN108" s="154">
        <v>40</v>
      </c>
      <c r="AO108" s="154">
        <v>244</v>
      </c>
      <c r="AP108" s="154">
        <v>112</v>
      </c>
      <c r="AQ108" s="154">
        <v>22.810590744018555</v>
      </c>
      <c r="AR108" s="154">
        <v>6.5173115730285645</v>
      </c>
      <c r="AS108" s="154">
        <v>12.830957412719727</v>
      </c>
      <c r="AT108" s="154">
        <v>8.1466398239135742</v>
      </c>
      <c r="AU108" s="154">
        <v>49.694499969482422</v>
      </c>
      <c r="AV108" s="154">
        <v>78</v>
      </c>
      <c r="AW108" s="154">
        <v>154</v>
      </c>
      <c r="AX108" s="154">
        <v>100</v>
      </c>
      <c r="AY108" s="154">
        <v>175</v>
      </c>
      <c r="AZ108" s="154">
        <v>20</v>
      </c>
      <c r="BA108" s="154">
        <v>76</v>
      </c>
      <c r="BB108" s="154">
        <v>14.800759315490723</v>
      </c>
      <c r="BC108" s="154">
        <v>29.222011566162109</v>
      </c>
      <c r="BD108" s="154">
        <v>18.975332260131836</v>
      </c>
      <c r="BE108" s="154">
        <v>33.206832885742188</v>
      </c>
      <c r="BF108" s="154">
        <v>3.7950663566589355</v>
      </c>
    </row>
    <row r="109" spans="1:58" x14ac:dyDescent="0.3">
      <c r="A109" s="151" t="s">
        <v>400</v>
      </c>
      <c r="B109" s="151" t="s">
        <v>399</v>
      </c>
      <c r="C109" s="152">
        <v>39</v>
      </c>
      <c r="D109" s="152">
        <v>3</v>
      </c>
      <c r="E109" s="152">
        <v>169</v>
      </c>
      <c r="F109" s="152">
        <v>92.857139587402344</v>
      </c>
      <c r="G109" s="152">
        <v>7.1428570747375488</v>
      </c>
      <c r="H109" s="152">
        <v>188</v>
      </c>
      <c r="I109" s="152">
        <v>3</v>
      </c>
      <c r="J109" s="152">
        <v>4</v>
      </c>
      <c r="K109" s="152">
        <v>1</v>
      </c>
      <c r="L109" s="152">
        <v>8</v>
      </c>
      <c r="M109" s="152">
        <v>7</v>
      </c>
      <c r="N109" s="152">
        <v>92.1568603515625</v>
      </c>
      <c r="O109" s="152">
        <v>1.470588207244873</v>
      </c>
      <c r="P109" s="152">
        <v>1.9607843160629272</v>
      </c>
      <c r="Q109" s="152">
        <v>0.49019607901573181</v>
      </c>
      <c r="R109" s="152">
        <v>3.9215686321258545</v>
      </c>
      <c r="S109" s="152">
        <v>13</v>
      </c>
      <c r="T109" s="152">
        <v>26</v>
      </c>
      <c r="U109" s="152">
        <v>60</v>
      </c>
      <c r="V109" s="152">
        <v>56</v>
      </c>
      <c r="W109" s="152">
        <v>56</v>
      </c>
      <c r="X109" s="152">
        <v>6.161137580871582</v>
      </c>
      <c r="Y109" s="152">
        <v>12.322275161743164</v>
      </c>
      <c r="Z109" s="152">
        <v>28.436019897460938</v>
      </c>
      <c r="AA109" s="152">
        <v>26.540285110473633</v>
      </c>
      <c r="AB109" s="152">
        <v>26.540285110473633</v>
      </c>
      <c r="AC109" s="152">
        <v>10</v>
      </c>
      <c r="AD109" s="152">
        <v>5</v>
      </c>
      <c r="AE109" s="152">
        <v>129</v>
      </c>
      <c r="AF109" s="152">
        <v>67</v>
      </c>
      <c r="AG109" s="152">
        <v>4.7393364906311035</v>
      </c>
      <c r="AH109" s="152">
        <v>2.3696682453155518</v>
      </c>
      <c r="AI109" s="152">
        <v>61.137439727783203</v>
      </c>
      <c r="AJ109" s="152">
        <v>31.753555297851563</v>
      </c>
      <c r="AK109" s="152">
        <v>40</v>
      </c>
      <c r="AL109" s="152">
        <v>8</v>
      </c>
      <c r="AM109" s="152">
        <v>22</v>
      </c>
      <c r="AN109" s="152">
        <v>20</v>
      </c>
      <c r="AO109" s="152">
        <v>69</v>
      </c>
      <c r="AP109" s="152">
        <v>52</v>
      </c>
      <c r="AQ109" s="152">
        <v>25.157232284545898</v>
      </c>
      <c r="AR109" s="152">
        <v>5.0314464569091797</v>
      </c>
      <c r="AS109" s="152">
        <v>13.836478233337402</v>
      </c>
      <c r="AT109" s="152">
        <v>12.578616142272949</v>
      </c>
      <c r="AU109" s="152">
        <v>43.396224975585938</v>
      </c>
      <c r="AV109" s="152">
        <v>30</v>
      </c>
      <c r="AW109" s="152">
        <v>81</v>
      </c>
      <c r="AX109" s="152">
        <v>30</v>
      </c>
      <c r="AY109" s="152">
        <v>15</v>
      </c>
      <c r="AZ109" s="152">
        <v>3</v>
      </c>
      <c r="BA109" s="152">
        <v>52</v>
      </c>
      <c r="BB109" s="152">
        <v>18.867923736572266</v>
      </c>
      <c r="BC109" s="152">
        <v>50.943397521972656</v>
      </c>
      <c r="BD109" s="152">
        <v>18.867923736572266</v>
      </c>
      <c r="BE109" s="152">
        <v>9.4339618682861328</v>
      </c>
      <c r="BF109" s="152">
        <v>1.8867924213409424</v>
      </c>
    </row>
    <row r="110" spans="1:58" x14ac:dyDescent="0.3">
      <c r="A110" s="153" t="s">
        <v>540</v>
      </c>
      <c r="B110" s="153" t="s">
        <v>539</v>
      </c>
      <c r="C110" s="154">
        <v>138</v>
      </c>
      <c r="D110" s="154">
        <v>27</v>
      </c>
      <c r="E110" s="154">
        <v>7</v>
      </c>
      <c r="F110" s="154">
        <v>83.636360168457031</v>
      </c>
      <c r="G110" s="154">
        <v>16.363636016845703</v>
      </c>
      <c r="H110" s="154">
        <v>160</v>
      </c>
      <c r="I110" s="154">
        <v>4</v>
      </c>
      <c r="J110" s="154">
        <v>3</v>
      </c>
      <c r="K110" s="154">
        <v>2</v>
      </c>
      <c r="L110" s="154">
        <v>2</v>
      </c>
      <c r="M110" s="154">
        <v>1</v>
      </c>
      <c r="N110" s="154">
        <v>93.567253112792969</v>
      </c>
      <c r="O110" s="154">
        <v>2.3391811847686768</v>
      </c>
      <c r="P110" s="154">
        <v>1.7543859481811523</v>
      </c>
      <c r="Q110" s="154">
        <v>1.1695905923843384</v>
      </c>
      <c r="R110" s="154">
        <v>1.1695905923843384</v>
      </c>
      <c r="S110" s="154">
        <v>6</v>
      </c>
      <c r="T110" s="154">
        <v>25</v>
      </c>
      <c r="U110" s="154">
        <v>57</v>
      </c>
      <c r="V110" s="154">
        <v>35</v>
      </c>
      <c r="W110" s="154">
        <v>49</v>
      </c>
      <c r="X110" s="154">
        <v>3.4883720874786377</v>
      </c>
      <c r="Y110" s="154">
        <v>14.534883499145508</v>
      </c>
      <c r="Z110" s="154">
        <v>33.139533996582031</v>
      </c>
      <c r="AA110" s="154">
        <v>20.348836898803711</v>
      </c>
      <c r="AB110" s="154">
        <v>28.488372802734375</v>
      </c>
      <c r="AC110" s="154">
        <v>11</v>
      </c>
      <c r="AD110" s="154"/>
      <c r="AE110" s="154">
        <v>112</v>
      </c>
      <c r="AF110" s="154">
        <v>49</v>
      </c>
      <c r="AG110" s="154">
        <v>6.3953490257263184</v>
      </c>
      <c r="AH110" s="154"/>
      <c r="AI110" s="154">
        <v>65.116279602050781</v>
      </c>
      <c r="AJ110" s="154">
        <v>28.488372802734375</v>
      </c>
      <c r="AK110" s="154">
        <v>36</v>
      </c>
      <c r="AL110" s="154">
        <v>14</v>
      </c>
      <c r="AM110" s="154">
        <v>10</v>
      </c>
      <c r="AN110" s="154">
        <v>10</v>
      </c>
      <c r="AO110" s="154">
        <v>95</v>
      </c>
      <c r="AP110" s="154">
        <v>7</v>
      </c>
      <c r="AQ110" s="154">
        <v>21.818181991577148</v>
      </c>
      <c r="AR110" s="154">
        <v>8.4848480224609375</v>
      </c>
      <c r="AS110" s="154">
        <v>6.0606060028076172</v>
      </c>
      <c r="AT110" s="154">
        <v>6.0606060028076172</v>
      </c>
      <c r="AU110" s="154">
        <v>57.575756072998047</v>
      </c>
      <c r="AV110" s="154">
        <v>12</v>
      </c>
      <c r="AW110" s="154">
        <v>44</v>
      </c>
      <c r="AX110" s="154">
        <v>53</v>
      </c>
      <c r="AY110" s="154">
        <v>45</v>
      </c>
      <c r="AZ110" s="154">
        <v>12</v>
      </c>
      <c r="BA110" s="154">
        <v>6</v>
      </c>
      <c r="BB110" s="154">
        <v>7.2289156913757324</v>
      </c>
      <c r="BC110" s="154">
        <v>26.506023406982422</v>
      </c>
      <c r="BD110" s="154">
        <v>31.927711486816406</v>
      </c>
      <c r="BE110" s="154">
        <v>27.108434677124023</v>
      </c>
      <c r="BF110" s="154">
        <v>7.2289156913757324</v>
      </c>
    </row>
    <row r="111" spans="1:58" x14ac:dyDescent="0.3">
      <c r="A111" s="151" t="s">
        <v>337</v>
      </c>
      <c r="B111" s="151" t="s">
        <v>336</v>
      </c>
      <c r="C111" s="152">
        <v>21</v>
      </c>
      <c r="D111" s="152">
        <v>3</v>
      </c>
      <c r="E111" s="152">
        <v>187</v>
      </c>
      <c r="F111" s="152">
        <v>87.5</v>
      </c>
      <c r="G111" s="152">
        <v>12.5</v>
      </c>
      <c r="H111" s="152">
        <v>186</v>
      </c>
      <c r="I111" s="152">
        <v>4</v>
      </c>
      <c r="J111" s="152">
        <v>3</v>
      </c>
      <c r="K111" s="152">
        <v>3</v>
      </c>
      <c r="L111" s="152">
        <v>3</v>
      </c>
      <c r="M111" s="152">
        <v>12</v>
      </c>
      <c r="N111" s="152">
        <v>93.467338562011719</v>
      </c>
      <c r="O111" s="152">
        <v>2.0100502967834473</v>
      </c>
      <c r="P111" s="152">
        <v>1.5075377225875854</v>
      </c>
      <c r="Q111" s="152">
        <v>1.5075377225875854</v>
      </c>
      <c r="R111" s="152">
        <v>1.5075377225875854</v>
      </c>
      <c r="S111" s="152">
        <v>6</v>
      </c>
      <c r="T111" s="152">
        <v>39</v>
      </c>
      <c r="U111" s="152">
        <v>63</v>
      </c>
      <c r="V111" s="152">
        <v>47</v>
      </c>
      <c r="W111" s="152">
        <v>56</v>
      </c>
      <c r="X111" s="152">
        <v>2.8436019420623779</v>
      </c>
      <c r="Y111" s="152">
        <v>18.48341178894043</v>
      </c>
      <c r="Z111" s="152">
        <v>29.857820510864258</v>
      </c>
      <c r="AA111" s="152">
        <v>22.274881362915039</v>
      </c>
      <c r="AB111" s="152">
        <v>26.540285110473633</v>
      </c>
      <c r="AC111" s="152">
        <v>15</v>
      </c>
      <c r="AD111" s="152">
        <v>3</v>
      </c>
      <c r="AE111" s="152">
        <v>120</v>
      </c>
      <c r="AF111" s="152">
        <v>73</v>
      </c>
      <c r="AG111" s="152">
        <v>7.1090049743652344</v>
      </c>
      <c r="AH111" s="152">
        <v>1.421800971031189</v>
      </c>
      <c r="AI111" s="152">
        <v>56.872039794921875</v>
      </c>
      <c r="AJ111" s="152">
        <v>34.597156524658203</v>
      </c>
      <c r="AK111" s="152">
        <v>30</v>
      </c>
      <c r="AL111" s="152">
        <v>12</v>
      </c>
      <c r="AM111" s="152">
        <v>20</v>
      </c>
      <c r="AN111" s="152">
        <v>17</v>
      </c>
      <c r="AO111" s="152">
        <v>82</v>
      </c>
      <c r="AP111" s="152">
        <v>50</v>
      </c>
      <c r="AQ111" s="152">
        <v>18.633541107177734</v>
      </c>
      <c r="AR111" s="152">
        <v>7.4534163475036621</v>
      </c>
      <c r="AS111" s="152">
        <v>12.422360420227051</v>
      </c>
      <c r="AT111" s="152">
        <v>10.559005737304688</v>
      </c>
      <c r="AU111" s="152">
        <v>50.931678771972656</v>
      </c>
      <c r="AV111" s="152">
        <v>25</v>
      </c>
      <c r="AW111" s="152">
        <v>52</v>
      </c>
      <c r="AX111" s="152">
        <v>26</v>
      </c>
      <c r="AY111" s="152">
        <v>31</v>
      </c>
      <c r="AZ111" s="152">
        <v>12</v>
      </c>
      <c r="BA111" s="152">
        <v>65</v>
      </c>
      <c r="BB111" s="152">
        <v>17.123287200927734</v>
      </c>
      <c r="BC111" s="152">
        <v>35.616439819335938</v>
      </c>
      <c r="BD111" s="152">
        <v>17.808219909667969</v>
      </c>
      <c r="BE111" s="152">
        <v>21.232875823974609</v>
      </c>
      <c r="BF111" s="152">
        <v>8.2191781997680664</v>
      </c>
    </row>
    <row r="112" spans="1:58" x14ac:dyDescent="0.3">
      <c r="A112" s="153" t="s">
        <v>482</v>
      </c>
      <c r="B112" s="153" t="s">
        <v>481</v>
      </c>
      <c r="C112" s="154">
        <v>153</v>
      </c>
      <c r="D112" s="154">
        <v>19</v>
      </c>
      <c r="E112" s="154">
        <v>26</v>
      </c>
      <c r="F112" s="154">
        <v>88.9534912109375</v>
      </c>
      <c r="G112" s="154">
        <v>11.046511650085449</v>
      </c>
      <c r="H112" s="154">
        <v>165</v>
      </c>
      <c r="I112" s="154">
        <v>6</v>
      </c>
      <c r="J112" s="154">
        <v>3</v>
      </c>
      <c r="K112" s="154">
        <v>17</v>
      </c>
      <c r="L112" s="154">
        <v>2</v>
      </c>
      <c r="M112" s="154">
        <v>5</v>
      </c>
      <c r="N112" s="154">
        <v>85.492225646972656</v>
      </c>
      <c r="O112" s="154">
        <v>3.1088082790374756</v>
      </c>
      <c r="P112" s="154">
        <v>1.5544041395187378</v>
      </c>
      <c r="Q112" s="154">
        <v>8.8082904815673828</v>
      </c>
      <c r="R112" s="154">
        <v>1.0362694263458252</v>
      </c>
      <c r="S112" s="154">
        <v>43</v>
      </c>
      <c r="T112" s="154">
        <v>43</v>
      </c>
      <c r="U112" s="154">
        <v>40</v>
      </c>
      <c r="V112" s="154">
        <v>37</v>
      </c>
      <c r="W112" s="154">
        <v>35</v>
      </c>
      <c r="X112" s="154">
        <v>21.717172622680664</v>
      </c>
      <c r="Y112" s="154">
        <v>21.717172622680664</v>
      </c>
      <c r="Z112" s="154">
        <v>20.202020645141602</v>
      </c>
      <c r="AA112" s="154">
        <v>18.686868667602539</v>
      </c>
      <c r="AB112" s="154">
        <v>17.676767349243164</v>
      </c>
      <c r="AC112" s="154">
        <v>21</v>
      </c>
      <c r="AD112" s="154">
        <v>1</v>
      </c>
      <c r="AE112" s="154">
        <v>92</v>
      </c>
      <c r="AF112" s="154">
        <v>84</v>
      </c>
      <c r="AG112" s="154">
        <v>10.606060981750488</v>
      </c>
      <c r="AH112" s="154">
        <v>0.50505048036575317</v>
      </c>
      <c r="AI112" s="154">
        <v>46.464645385742188</v>
      </c>
      <c r="AJ112" s="154">
        <v>42.424243927001953</v>
      </c>
      <c r="AK112" s="154">
        <v>54</v>
      </c>
      <c r="AL112" s="154">
        <v>11</v>
      </c>
      <c r="AM112" s="154">
        <v>26</v>
      </c>
      <c r="AN112" s="154">
        <v>15</v>
      </c>
      <c r="AO112" s="154">
        <v>91</v>
      </c>
      <c r="AP112" s="154">
        <v>1</v>
      </c>
      <c r="AQ112" s="154">
        <v>27.411167144775391</v>
      </c>
      <c r="AR112" s="154">
        <v>5.5837564468383789</v>
      </c>
      <c r="AS112" s="154">
        <v>13.197969436645508</v>
      </c>
      <c r="AT112" s="154">
        <v>7.6142129898071289</v>
      </c>
      <c r="AU112" s="154">
        <v>46.192893981933594</v>
      </c>
      <c r="AV112" s="154">
        <v>29</v>
      </c>
      <c r="AW112" s="154">
        <v>48</v>
      </c>
      <c r="AX112" s="154">
        <v>39</v>
      </c>
      <c r="AY112" s="154">
        <v>55</v>
      </c>
      <c r="AZ112" s="154">
        <v>23</v>
      </c>
      <c r="BA112" s="154">
        <v>4</v>
      </c>
      <c r="BB112" s="154">
        <v>14.948453903198242</v>
      </c>
      <c r="BC112" s="154">
        <v>24.742267608642578</v>
      </c>
      <c r="BD112" s="154">
        <v>20.103092193603516</v>
      </c>
      <c r="BE112" s="154">
        <v>28.350515365600586</v>
      </c>
      <c r="BF112" s="154">
        <v>11.855669975280762</v>
      </c>
    </row>
    <row r="113" spans="1:58" x14ac:dyDescent="0.3">
      <c r="A113" s="151" t="s">
        <v>546</v>
      </c>
      <c r="B113" s="151" t="s">
        <v>545</v>
      </c>
      <c r="C113" s="152">
        <v>122</v>
      </c>
      <c r="D113" s="152">
        <v>6</v>
      </c>
      <c r="E113" s="152">
        <v>147</v>
      </c>
      <c r="F113" s="152">
        <v>95.3125</v>
      </c>
      <c r="G113" s="152">
        <v>4.6875</v>
      </c>
      <c r="H113" s="152">
        <v>259</v>
      </c>
      <c r="I113" s="152">
        <v>6</v>
      </c>
      <c r="J113" s="152">
        <v>3</v>
      </c>
      <c r="K113" s="152"/>
      <c r="L113" s="152">
        <v>1</v>
      </c>
      <c r="M113" s="152">
        <v>6</v>
      </c>
      <c r="N113" s="152">
        <v>96.282524108886719</v>
      </c>
      <c r="O113" s="152">
        <v>2.2304832935333252</v>
      </c>
      <c r="P113" s="152">
        <v>1.1152416467666626</v>
      </c>
      <c r="Q113" s="152"/>
      <c r="R113" s="152">
        <v>0.371747225522995</v>
      </c>
      <c r="S113" s="152">
        <v>51</v>
      </c>
      <c r="T113" s="152">
        <v>52</v>
      </c>
      <c r="U113" s="152">
        <v>70</v>
      </c>
      <c r="V113" s="152">
        <v>64</v>
      </c>
      <c r="W113" s="152">
        <v>38</v>
      </c>
      <c r="X113" s="152">
        <v>18.545454025268555</v>
      </c>
      <c r="Y113" s="152">
        <v>18.909090042114258</v>
      </c>
      <c r="Z113" s="152">
        <v>25.454545974731445</v>
      </c>
      <c r="AA113" s="152">
        <v>23.272727966308594</v>
      </c>
      <c r="AB113" s="152">
        <v>13.818181991577148</v>
      </c>
      <c r="AC113" s="152">
        <v>23</v>
      </c>
      <c r="AD113" s="152">
        <v>1</v>
      </c>
      <c r="AE113" s="152">
        <v>137</v>
      </c>
      <c r="AF113" s="152">
        <v>114</v>
      </c>
      <c r="AG113" s="152">
        <v>8.3636360168457031</v>
      </c>
      <c r="AH113" s="152">
        <v>0.36363637447357178</v>
      </c>
      <c r="AI113" s="152">
        <v>49.818180084228516</v>
      </c>
      <c r="AJ113" s="152">
        <v>41.454544067382813</v>
      </c>
      <c r="AK113" s="152">
        <v>35</v>
      </c>
      <c r="AL113" s="152">
        <v>20</v>
      </c>
      <c r="AM113" s="152">
        <v>27</v>
      </c>
      <c r="AN113" s="152">
        <v>15</v>
      </c>
      <c r="AO113" s="152">
        <v>156</v>
      </c>
      <c r="AP113" s="152">
        <v>22</v>
      </c>
      <c r="AQ113" s="152">
        <v>13.833992004394531</v>
      </c>
      <c r="AR113" s="152">
        <v>7.9051384925842285</v>
      </c>
      <c r="AS113" s="152">
        <v>10.671936988830566</v>
      </c>
      <c r="AT113" s="152">
        <v>5.9288539886474609</v>
      </c>
      <c r="AU113" s="152">
        <v>61.660079956054688</v>
      </c>
      <c r="AV113" s="152">
        <v>66</v>
      </c>
      <c r="AW113" s="152">
        <v>77</v>
      </c>
      <c r="AX113" s="152">
        <v>66</v>
      </c>
      <c r="AY113" s="152">
        <v>29</v>
      </c>
      <c r="AZ113" s="152">
        <v>7</v>
      </c>
      <c r="BA113" s="152">
        <v>30</v>
      </c>
      <c r="BB113" s="152">
        <v>26.938776016235352</v>
      </c>
      <c r="BC113" s="152">
        <v>31.428571701049805</v>
      </c>
      <c r="BD113" s="152">
        <v>26.938776016235352</v>
      </c>
      <c r="BE113" s="152">
        <v>11.836734771728516</v>
      </c>
      <c r="BF113" s="152">
        <v>2.8571429252624512</v>
      </c>
    </row>
    <row r="114" spans="1:58" x14ac:dyDescent="0.3">
      <c r="A114" s="153" t="s">
        <v>538</v>
      </c>
      <c r="B114" s="153" t="s">
        <v>537</v>
      </c>
      <c r="C114" s="154">
        <v>183</v>
      </c>
      <c r="D114" s="154">
        <v>14</v>
      </c>
      <c r="E114" s="154">
        <v>25</v>
      </c>
      <c r="F114" s="154">
        <v>92.893402099609375</v>
      </c>
      <c r="G114" s="154">
        <v>7.1065988540649414</v>
      </c>
      <c r="H114" s="154">
        <v>215</v>
      </c>
      <c r="I114" s="154">
        <v>3</v>
      </c>
      <c r="J114" s="154">
        <v>2</v>
      </c>
      <c r="K114" s="154"/>
      <c r="L114" s="154">
        <v>1</v>
      </c>
      <c r="M114" s="154">
        <v>1</v>
      </c>
      <c r="N114" s="154">
        <v>97.285064697265625</v>
      </c>
      <c r="O114" s="154">
        <v>1.3574661016464233</v>
      </c>
      <c r="P114" s="154">
        <v>0.90497738122940063</v>
      </c>
      <c r="Q114" s="154"/>
      <c r="R114" s="154">
        <v>0.45248869061470032</v>
      </c>
      <c r="S114" s="154">
        <v>83</v>
      </c>
      <c r="T114" s="154">
        <v>27</v>
      </c>
      <c r="U114" s="154">
        <v>30</v>
      </c>
      <c r="V114" s="154">
        <v>45</v>
      </c>
      <c r="W114" s="154">
        <v>37</v>
      </c>
      <c r="X114" s="154">
        <v>37.387386322021484</v>
      </c>
      <c r="Y114" s="154">
        <v>12.162161827087402</v>
      </c>
      <c r="Z114" s="154">
        <v>13.513513565063477</v>
      </c>
      <c r="AA114" s="154">
        <v>20.270269393920898</v>
      </c>
      <c r="AB114" s="154">
        <v>16.666666030883789</v>
      </c>
      <c r="AC114" s="154">
        <v>19</v>
      </c>
      <c r="AD114" s="154">
        <v>6</v>
      </c>
      <c r="AE114" s="154">
        <v>140</v>
      </c>
      <c r="AF114" s="154">
        <v>57</v>
      </c>
      <c r="AG114" s="154">
        <v>8.558558464050293</v>
      </c>
      <c r="AH114" s="154">
        <v>2.7027027606964111</v>
      </c>
      <c r="AI114" s="154">
        <v>63.063064575195313</v>
      </c>
      <c r="AJ114" s="154">
        <v>25.675676345825195</v>
      </c>
      <c r="AK114" s="154">
        <v>61</v>
      </c>
      <c r="AL114" s="154">
        <v>12</v>
      </c>
      <c r="AM114" s="154">
        <v>21</v>
      </c>
      <c r="AN114" s="154">
        <v>21</v>
      </c>
      <c r="AO114" s="154">
        <v>97</v>
      </c>
      <c r="AP114" s="154">
        <v>10</v>
      </c>
      <c r="AQ114" s="154">
        <v>28.773584365844727</v>
      </c>
      <c r="AR114" s="154">
        <v>5.6603775024414063</v>
      </c>
      <c r="AS114" s="154">
        <v>9.9056606292724609</v>
      </c>
      <c r="AT114" s="154">
        <v>9.9056606292724609</v>
      </c>
      <c r="AU114" s="154">
        <v>45.754718780517578</v>
      </c>
      <c r="AV114" s="154">
        <v>72</v>
      </c>
      <c r="AW114" s="154">
        <v>64</v>
      </c>
      <c r="AX114" s="154">
        <v>38</v>
      </c>
      <c r="AY114" s="154">
        <v>26</v>
      </c>
      <c r="AZ114" s="154">
        <v>16</v>
      </c>
      <c r="BA114" s="154">
        <v>6</v>
      </c>
      <c r="BB114" s="154">
        <v>33.333332061767578</v>
      </c>
      <c r="BC114" s="154">
        <v>29.629629135131836</v>
      </c>
      <c r="BD114" s="154">
        <v>17.592592239379883</v>
      </c>
      <c r="BE114" s="154">
        <v>12.037036895751953</v>
      </c>
      <c r="BF114" s="154">
        <v>7.407407283782959</v>
      </c>
    </row>
    <row r="115" spans="1:58" x14ac:dyDescent="0.3">
      <c r="A115" s="151" t="s">
        <v>303</v>
      </c>
      <c r="B115" s="151" t="s">
        <v>302</v>
      </c>
      <c r="C115" s="152">
        <v>202</v>
      </c>
      <c r="D115" s="152">
        <v>18</v>
      </c>
      <c r="E115" s="152">
        <v>82</v>
      </c>
      <c r="F115" s="152">
        <v>91.818183898925781</v>
      </c>
      <c r="G115" s="152">
        <v>8.1818180084228516</v>
      </c>
      <c r="H115" s="152">
        <v>284</v>
      </c>
      <c r="I115" s="152">
        <v>6</v>
      </c>
      <c r="J115" s="152">
        <v>5</v>
      </c>
      <c r="K115" s="152">
        <v>2</v>
      </c>
      <c r="L115" s="152">
        <v>4</v>
      </c>
      <c r="M115" s="152">
        <v>1</v>
      </c>
      <c r="N115" s="152">
        <v>94.352157592773438</v>
      </c>
      <c r="O115" s="152">
        <v>1.9933555126190186</v>
      </c>
      <c r="P115" s="152">
        <v>1.6611295938491821</v>
      </c>
      <c r="Q115" s="152">
        <v>0.66445183753967285</v>
      </c>
      <c r="R115" s="152">
        <v>1.3289036750793457</v>
      </c>
      <c r="S115" s="152">
        <v>87</v>
      </c>
      <c r="T115" s="152">
        <v>69</v>
      </c>
      <c r="U115" s="152">
        <v>57</v>
      </c>
      <c r="V115" s="152">
        <v>51</v>
      </c>
      <c r="W115" s="152">
        <v>38</v>
      </c>
      <c r="X115" s="152">
        <v>28.807947158813477</v>
      </c>
      <c r="Y115" s="152">
        <v>22.847682952880859</v>
      </c>
      <c r="Z115" s="152">
        <v>18.874172210693359</v>
      </c>
      <c r="AA115" s="152">
        <v>16.887416839599609</v>
      </c>
      <c r="AB115" s="152">
        <v>12.582781791687012</v>
      </c>
      <c r="AC115" s="152">
        <v>38</v>
      </c>
      <c r="AD115" s="152">
        <v>2</v>
      </c>
      <c r="AE115" s="152">
        <v>254</v>
      </c>
      <c r="AF115" s="152">
        <v>8</v>
      </c>
      <c r="AG115" s="152">
        <v>12.582781791687012</v>
      </c>
      <c r="AH115" s="152">
        <v>0.66225165128707886</v>
      </c>
      <c r="AI115" s="152">
        <v>84.10595703125</v>
      </c>
      <c r="AJ115" s="152">
        <v>2.6490066051483154</v>
      </c>
      <c r="AK115" s="152">
        <v>62</v>
      </c>
      <c r="AL115" s="152">
        <v>21</v>
      </c>
      <c r="AM115" s="152">
        <v>37</v>
      </c>
      <c r="AN115" s="152">
        <v>19</v>
      </c>
      <c r="AO115" s="152">
        <v>147</v>
      </c>
      <c r="AP115" s="152">
        <v>16</v>
      </c>
      <c r="AQ115" s="152">
        <v>21.678321838378906</v>
      </c>
      <c r="AR115" s="152">
        <v>7.3426575660705566</v>
      </c>
      <c r="AS115" s="152">
        <v>12.937063217163086</v>
      </c>
      <c r="AT115" s="152">
        <v>6.6433568000793457</v>
      </c>
      <c r="AU115" s="152">
        <v>51.398601531982422</v>
      </c>
      <c r="AV115" s="152">
        <v>62</v>
      </c>
      <c r="AW115" s="152">
        <v>72</v>
      </c>
      <c r="AX115" s="152">
        <v>61</v>
      </c>
      <c r="AY115" s="152">
        <v>75</v>
      </c>
      <c r="AZ115" s="152">
        <v>13</v>
      </c>
      <c r="BA115" s="152">
        <v>19</v>
      </c>
      <c r="BB115" s="152">
        <v>21.908126831054688</v>
      </c>
      <c r="BC115" s="152">
        <v>25.441696166992188</v>
      </c>
      <c r="BD115" s="152">
        <v>21.554769515991211</v>
      </c>
      <c r="BE115" s="152">
        <v>26.501766204833984</v>
      </c>
      <c r="BF115" s="152">
        <v>4.5936393737792969</v>
      </c>
    </row>
    <row r="116" spans="1:58" x14ac:dyDescent="0.3">
      <c r="A116" s="153" t="s">
        <v>433</v>
      </c>
      <c r="B116" s="153" t="s">
        <v>432</v>
      </c>
      <c r="C116" s="154">
        <v>405</v>
      </c>
      <c r="D116" s="154">
        <v>35</v>
      </c>
      <c r="E116" s="154">
        <v>112</v>
      </c>
      <c r="F116" s="154">
        <v>92.045455932617188</v>
      </c>
      <c r="G116" s="154">
        <v>7.9545454978942871</v>
      </c>
      <c r="H116" s="154">
        <v>459</v>
      </c>
      <c r="I116" s="154">
        <v>17</v>
      </c>
      <c r="J116" s="154">
        <v>18</v>
      </c>
      <c r="K116" s="154">
        <v>9</v>
      </c>
      <c r="L116" s="154">
        <v>14</v>
      </c>
      <c r="M116" s="154">
        <v>35</v>
      </c>
      <c r="N116" s="154">
        <v>88.78143310546875</v>
      </c>
      <c r="O116" s="154">
        <v>3.2882010936737061</v>
      </c>
      <c r="P116" s="154">
        <v>3.4816248416900635</v>
      </c>
      <c r="Q116" s="154">
        <v>1.7408124208450317</v>
      </c>
      <c r="R116" s="154">
        <v>2.707930326461792</v>
      </c>
      <c r="S116" s="154">
        <v>165</v>
      </c>
      <c r="T116" s="154">
        <v>98</v>
      </c>
      <c r="U116" s="154">
        <v>100</v>
      </c>
      <c r="V116" s="154">
        <v>99</v>
      </c>
      <c r="W116" s="154">
        <v>90</v>
      </c>
      <c r="X116" s="154">
        <v>29.891304016113281</v>
      </c>
      <c r="Y116" s="154">
        <v>17.753623962402344</v>
      </c>
      <c r="Z116" s="154">
        <v>18.115942001342773</v>
      </c>
      <c r="AA116" s="154">
        <v>17.934782028198242</v>
      </c>
      <c r="AB116" s="154">
        <v>16.304347991943359</v>
      </c>
      <c r="AC116" s="154">
        <v>47</v>
      </c>
      <c r="AD116" s="154">
        <v>18</v>
      </c>
      <c r="AE116" s="154">
        <v>349</v>
      </c>
      <c r="AF116" s="154">
        <v>138</v>
      </c>
      <c r="AG116" s="154">
        <v>8.5144929885864258</v>
      </c>
      <c r="AH116" s="154">
        <v>3.2608695030212402</v>
      </c>
      <c r="AI116" s="154">
        <v>63.224636077880859</v>
      </c>
      <c r="AJ116" s="154">
        <v>25</v>
      </c>
      <c r="AK116" s="154">
        <v>132</v>
      </c>
      <c r="AL116" s="154">
        <v>40</v>
      </c>
      <c r="AM116" s="154">
        <v>71</v>
      </c>
      <c r="AN116" s="154">
        <v>55</v>
      </c>
      <c r="AO116" s="154">
        <v>193</v>
      </c>
      <c r="AP116" s="154">
        <v>61</v>
      </c>
      <c r="AQ116" s="154">
        <v>26.8839111328125</v>
      </c>
      <c r="AR116" s="154">
        <v>8.1466398239135742</v>
      </c>
      <c r="AS116" s="154">
        <v>14.460285186767578</v>
      </c>
      <c r="AT116" s="154">
        <v>11.201629638671875</v>
      </c>
      <c r="AU116" s="154">
        <v>39.307537078857422</v>
      </c>
      <c r="AV116" s="154">
        <v>197</v>
      </c>
      <c r="AW116" s="154">
        <v>141</v>
      </c>
      <c r="AX116" s="154">
        <v>91</v>
      </c>
      <c r="AY116" s="154">
        <v>76</v>
      </c>
      <c r="AZ116" s="154">
        <v>6</v>
      </c>
      <c r="BA116" s="154">
        <v>41</v>
      </c>
      <c r="BB116" s="154">
        <v>38.551860809326172</v>
      </c>
      <c r="BC116" s="154">
        <v>27.592954635620117</v>
      </c>
      <c r="BD116" s="154">
        <v>17.808219909667969</v>
      </c>
      <c r="BE116" s="154">
        <v>14.872797966003418</v>
      </c>
      <c r="BF116" s="154">
        <v>1.1741683483123779</v>
      </c>
    </row>
    <row r="117" spans="1:58" x14ac:dyDescent="0.3">
      <c r="A117" s="151" t="s">
        <v>348</v>
      </c>
      <c r="B117" s="151" t="s">
        <v>347</v>
      </c>
      <c r="C117" s="152">
        <v>80</v>
      </c>
      <c r="D117" s="152">
        <v>6</v>
      </c>
      <c r="E117" s="152">
        <v>150</v>
      </c>
      <c r="F117" s="152">
        <v>93.02325439453125</v>
      </c>
      <c r="G117" s="152">
        <v>6.9767441749572754</v>
      </c>
      <c r="H117" s="152">
        <v>174</v>
      </c>
      <c r="I117" s="152">
        <v>13</v>
      </c>
      <c r="J117" s="152">
        <v>3</v>
      </c>
      <c r="K117" s="152">
        <v>5</v>
      </c>
      <c r="L117" s="152">
        <v>11</v>
      </c>
      <c r="M117" s="152">
        <v>30</v>
      </c>
      <c r="N117" s="152">
        <v>84.466018676757813</v>
      </c>
      <c r="O117" s="152">
        <v>6.3106794357299805</v>
      </c>
      <c r="P117" s="152">
        <v>1.4563106298446655</v>
      </c>
      <c r="Q117" s="152">
        <v>2.4271845817565918</v>
      </c>
      <c r="R117" s="152">
        <v>5.3398056030273438</v>
      </c>
      <c r="S117" s="152">
        <v>45</v>
      </c>
      <c r="T117" s="152">
        <v>56</v>
      </c>
      <c r="U117" s="152">
        <v>62</v>
      </c>
      <c r="V117" s="152">
        <v>58</v>
      </c>
      <c r="W117" s="152">
        <v>15</v>
      </c>
      <c r="X117" s="152">
        <v>19.06779670715332</v>
      </c>
      <c r="Y117" s="152">
        <v>23.728813171386719</v>
      </c>
      <c r="Z117" s="152">
        <v>26.271186828613281</v>
      </c>
      <c r="AA117" s="152">
        <v>24.576271057128906</v>
      </c>
      <c r="AB117" s="152">
        <v>6.3559322357177734</v>
      </c>
      <c r="AC117" s="152">
        <v>17</v>
      </c>
      <c r="AD117" s="152">
        <v>3</v>
      </c>
      <c r="AE117" s="152">
        <v>136</v>
      </c>
      <c r="AF117" s="152">
        <v>80</v>
      </c>
      <c r="AG117" s="152">
        <v>7.2033896446228027</v>
      </c>
      <c r="AH117" s="152">
        <v>1.2711864709854126</v>
      </c>
      <c r="AI117" s="152">
        <v>57.627117156982422</v>
      </c>
      <c r="AJ117" s="152">
        <v>33.898303985595703</v>
      </c>
      <c r="AK117" s="152">
        <v>28</v>
      </c>
      <c r="AL117" s="152">
        <v>17</v>
      </c>
      <c r="AM117" s="152">
        <v>28</v>
      </c>
      <c r="AN117" s="152">
        <v>15</v>
      </c>
      <c r="AO117" s="152">
        <v>107</v>
      </c>
      <c r="AP117" s="152">
        <v>41</v>
      </c>
      <c r="AQ117" s="152">
        <v>14.358974456787109</v>
      </c>
      <c r="AR117" s="152">
        <v>8.7179489135742188</v>
      </c>
      <c r="AS117" s="152">
        <v>14.358974456787109</v>
      </c>
      <c r="AT117" s="152">
        <v>7.6923074722290039</v>
      </c>
      <c r="AU117" s="152">
        <v>54.871795654296875</v>
      </c>
      <c r="AV117" s="152">
        <v>17</v>
      </c>
      <c r="AW117" s="152">
        <v>60</v>
      </c>
      <c r="AX117" s="152">
        <v>41</v>
      </c>
      <c r="AY117" s="152">
        <v>22</v>
      </c>
      <c r="AZ117" s="152">
        <v>13</v>
      </c>
      <c r="BA117" s="152">
        <v>83</v>
      </c>
      <c r="BB117" s="152">
        <v>11.111110687255859</v>
      </c>
      <c r="BC117" s="152">
        <v>39.215686798095703</v>
      </c>
      <c r="BD117" s="152">
        <v>26.797386169433594</v>
      </c>
      <c r="BE117" s="152">
        <v>14.379084587097168</v>
      </c>
      <c r="BF117" s="152">
        <v>8.4967317581176758</v>
      </c>
    </row>
    <row r="118" spans="1:58" x14ac:dyDescent="0.3">
      <c r="A118" s="153" t="s">
        <v>410</v>
      </c>
      <c r="B118" s="153" t="s">
        <v>409</v>
      </c>
      <c r="C118" s="154">
        <v>224</v>
      </c>
      <c r="D118" s="154">
        <v>13</v>
      </c>
      <c r="E118" s="154">
        <v>202</v>
      </c>
      <c r="F118" s="154">
        <v>94.5147705078125</v>
      </c>
      <c r="G118" s="154">
        <v>5.485231876373291</v>
      </c>
      <c r="H118" s="154">
        <v>422</v>
      </c>
      <c r="I118" s="154"/>
      <c r="J118" s="154">
        <v>10</v>
      </c>
      <c r="K118" s="154"/>
      <c r="L118" s="154">
        <v>2</v>
      </c>
      <c r="M118" s="154">
        <v>5</v>
      </c>
      <c r="N118" s="154">
        <v>97.235023498535156</v>
      </c>
      <c r="O118" s="154"/>
      <c r="P118" s="154">
        <v>2.304147481918335</v>
      </c>
      <c r="Q118" s="154"/>
      <c r="R118" s="154">
        <v>0.46082949638366699</v>
      </c>
      <c r="S118" s="154">
        <v>176</v>
      </c>
      <c r="T118" s="154">
        <v>102</v>
      </c>
      <c r="U118" s="154">
        <v>86</v>
      </c>
      <c r="V118" s="154">
        <v>58</v>
      </c>
      <c r="W118" s="154">
        <v>17</v>
      </c>
      <c r="X118" s="154">
        <v>40.091117858886719</v>
      </c>
      <c r="Y118" s="154">
        <v>23.234624862670898</v>
      </c>
      <c r="Z118" s="154">
        <v>19.589977264404297</v>
      </c>
      <c r="AA118" s="154">
        <v>13.211845397949219</v>
      </c>
      <c r="AB118" s="154">
        <v>3.8724372386932373</v>
      </c>
      <c r="AC118" s="154">
        <v>37</v>
      </c>
      <c r="AD118" s="154">
        <v>4</v>
      </c>
      <c r="AE118" s="154">
        <v>286</v>
      </c>
      <c r="AF118" s="154">
        <v>112</v>
      </c>
      <c r="AG118" s="154">
        <v>8.4282455444335938</v>
      </c>
      <c r="AH118" s="154">
        <v>0.91116172075271606</v>
      </c>
      <c r="AI118" s="154">
        <v>65.148063659667969</v>
      </c>
      <c r="AJ118" s="154">
        <v>25.512529373168945</v>
      </c>
      <c r="AK118" s="154">
        <v>76</v>
      </c>
      <c r="AL118" s="154">
        <v>34</v>
      </c>
      <c r="AM118" s="154">
        <v>63</v>
      </c>
      <c r="AN118" s="154">
        <v>43</v>
      </c>
      <c r="AO118" s="154">
        <v>217</v>
      </c>
      <c r="AP118" s="154">
        <v>6</v>
      </c>
      <c r="AQ118" s="154">
        <v>17.551963806152344</v>
      </c>
      <c r="AR118" s="154">
        <v>7.8521938323974609</v>
      </c>
      <c r="AS118" s="154">
        <v>14.549654006958008</v>
      </c>
      <c r="AT118" s="154">
        <v>9.9307155609130859</v>
      </c>
      <c r="AU118" s="154">
        <v>50.115474700927734</v>
      </c>
      <c r="AV118" s="154">
        <v>55</v>
      </c>
      <c r="AW118" s="154">
        <v>124</v>
      </c>
      <c r="AX118" s="154">
        <v>106</v>
      </c>
      <c r="AY118" s="154">
        <v>101</v>
      </c>
      <c r="AZ118" s="154">
        <v>37</v>
      </c>
      <c r="BA118" s="154">
        <v>16</v>
      </c>
      <c r="BB118" s="154">
        <v>13.002364158630371</v>
      </c>
      <c r="BC118" s="154">
        <v>29.314420700073242</v>
      </c>
      <c r="BD118" s="154">
        <v>25.059101104736328</v>
      </c>
      <c r="BE118" s="154">
        <v>23.877069473266602</v>
      </c>
      <c r="BF118" s="154">
        <v>8.747044563293457</v>
      </c>
    </row>
    <row r="119" spans="1:58" x14ac:dyDescent="0.3">
      <c r="A119" s="151" t="s">
        <v>460</v>
      </c>
      <c r="B119" s="151" t="s">
        <v>459</v>
      </c>
      <c r="C119" s="152">
        <v>127</v>
      </c>
      <c r="D119" s="152">
        <v>3</v>
      </c>
      <c r="E119" s="152">
        <v>83</v>
      </c>
      <c r="F119" s="152">
        <v>97.692306518554688</v>
      </c>
      <c r="G119" s="152">
        <v>2.307692289352417</v>
      </c>
      <c r="H119" s="152">
        <v>156</v>
      </c>
      <c r="I119" s="152">
        <v>11</v>
      </c>
      <c r="J119" s="152">
        <v>14</v>
      </c>
      <c r="K119" s="152">
        <v>21</v>
      </c>
      <c r="L119" s="152">
        <v>7</v>
      </c>
      <c r="M119" s="152">
        <v>4</v>
      </c>
      <c r="N119" s="152">
        <v>74.641151428222656</v>
      </c>
      <c r="O119" s="152">
        <v>5.263157844543457</v>
      </c>
      <c r="P119" s="152">
        <v>6.6985645294189453</v>
      </c>
      <c r="Q119" s="152">
        <v>10.047846794128418</v>
      </c>
      <c r="R119" s="152">
        <v>3.3492822647094727</v>
      </c>
      <c r="S119" s="152">
        <v>136</v>
      </c>
      <c r="T119" s="152">
        <v>40</v>
      </c>
      <c r="U119" s="152">
        <v>30</v>
      </c>
      <c r="V119" s="152">
        <v>7</v>
      </c>
      <c r="W119" s="152"/>
      <c r="X119" s="152">
        <v>63.849765777587891</v>
      </c>
      <c r="Y119" s="152">
        <v>18.779342651367188</v>
      </c>
      <c r="Z119" s="152">
        <v>14.084506988525391</v>
      </c>
      <c r="AA119" s="152">
        <v>3.2863850593566895</v>
      </c>
      <c r="AB119" s="152"/>
      <c r="AC119" s="152">
        <v>20</v>
      </c>
      <c r="AD119" s="152">
        <v>1</v>
      </c>
      <c r="AE119" s="152">
        <v>97</v>
      </c>
      <c r="AF119" s="152">
        <v>95</v>
      </c>
      <c r="AG119" s="152">
        <v>9.3896713256835938</v>
      </c>
      <c r="AH119" s="152">
        <v>0.46948355436325073</v>
      </c>
      <c r="AI119" s="152">
        <v>45.539905548095703</v>
      </c>
      <c r="AJ119" s="152">
        <v>44.600940704345703</v>
      </c>
      <c r="AK119" s="152">
        <v>19</v>
      </c>
      <c r="AL119" s="152">
        <v>13</v>
      </c>
      <c r="AM119" s="152">
        <v>12</v>
      </c>
      <c r="AN119" s="152">
        <v>23</v>
      </c>
      <c r="AO119" s="152">
        <v>78</v>
      </c>
      <c r="AP119" s="152">
        <v>68</v>
      </c>
      <c r="AQ119" s="152">
        <v>13.103447914123535</v>
      </c>
      <c r="AR119" s="152">
        <v>8.9655170440673828</v>
      </c>
      <c r="AS119" s="152">
        <v>8.2758617401123047</v>
      </c>
      <c r="AT119" s="152">
        <v>15.862069129943848</v>
      </c>
      <c r="AU119" s="152">
        <v>53.793102264404297</v>
      </c>
      <c r="AV119" s="152">
        <v>32</v>
      </c>
      <c r="AW119" s="152">
        <v>71</v>
      </c>
      <c r="AX119" s="152">
        <v>34</v>
      </c>
      <c r="AY119" s="152">
        <v>36</v>
      </c>
      <c r="AZ119" s="152">
        <v>10</v>
      </c>
      <c r="BA119" s="152">
        <v>30</v>
      </c>
      <c r="BB119" s="152">
        <v>17.486339569091797</v>
      </c>
      <c r="BC119" s="152">
        <v>38.797813415527344</v>
      </c>
      <c r="BD119" s="152">
        <v>18.579235076904297</v>
      </c>
      <c r="BE119" s="152">
        <v>19.672130584716797</v>
      </c>
      <c r="BF119" s="152">
        <v>5.4644808769226074</v>
      </c>
    </row>
    <row r="120" spans="1:58" x14ac:dyDescent="0.3">
      <c r="A120" s="153" t="s">
        <v>288</v>
      </c>
      <c r="B120" s="153" t="s">
        <v>287</v>
      </c>
      <c r="C120" s="154">
        <v>45</v>
      </c>
      <c r="D120" s="154">
        <v>1</v>
      </c>
      <c r="E120" s="154">
        <v>302</v>
      </c>
      <c r="F120" s="154">
        <v>97.826087951660156</v>
      </c>
      <c r="G120" s="154">
        <v>2.1739130020141602</v>
      </c>
      <c r="H120" s="154">
        <v>320</v>
      </c>
      <c r="I120" s="154">
        <v>5</v>
      </c>
      <c r="J120" s="154">
        <v>6</v>
      </c>
      <c r="K120" s="154">
        <v>2</v>
      </c>
      <c r="L120" s="154">
        <v>5</v>
      </c>
      <c r="M120" s="154">
        <v>10</v>
      </c>
      <c r="N120" s="154">
        <v>94.674552917480469</v>
      </c>
      <c r="O120" s="154">
        <v>1.4792898893356323</v>
      </c>
      <c r="P120" s="154">
        <v>1.7751479148864746</v>
      </c>
      <c r="Q120" s="154">
        <v>0.59171599149703979</v>
      </c>
      <c r="R120" s="154">
        <v>1.4792898893356323</v>
      </c>
      <c r="S120" s="154">
        <v>134</v>
      </c>
      <c r="T120" s="154">
        <v>74</v>
      </c>
      <c r="U120" s="154">
        <v>56</v>
      </c>
      <c r="V120" s="154">
        <v>63</v>
      </c>
      <c r="W120" s="154">
        <v>21</v>
      </c>
      <c r="X120" s="154">
        <v>38.505748748779297</v>
      </c>
      <c r="Y120" s="154">
        <v>21.264368057250977</v>
      </c>
      <c r="Z120" s="154">
        <v>16.091953277587891</v>
      </c>
      <c r="AA120" s="154">
        <v>18.103448867797852</v>
      </c>
      <c r="AB120" s="154">
        <v>6.0344829559326172</v>
      </c>
      <c r="AC120" s="154">
        <v>32</v>
      </c>
      <c r="AD120" s="154">
        <v>6</v>
      </c>
      <c r="AE120" s="154">
        <v>200</v>
      </c>
      <c r="AF120" s="154">
        <v>110</v>
      </c>
      <c r="AG120" s="154">
        <v>9.1954021453857422</v>
      </c>
      <c r="AH120" s="154">
        <v>1.7241379022598267</v>
      </c>
      <c r="AI120" s="154">
        <v>57.471263885498047</v>
      </c>
      <c r="AJ120" s="154">
        <v>31.609195709228516</v>
      </c>
      <c r="AK120" s="154">
        <v>91</v>
      </c>
      <c r="AL120" s="154">
        <v>28</v>
      </c>
      <c r="AM120" s="154">
        <v>24</v>
      </c>
      <c r="AN120" s="154">
        <v>27</v>
      </c>
      <c r="AO120" s="154">
        <v>101</v>
      </c>
      <c r="AP120" s="154">
        <v>77</v>
      </c>
      <c r="AQ120" s="154">
        <v>33.579334259033203</v>
      </c>
      <c r="AR120" s="154">
        <v>10.332103729248047</v>
      </c>
      <c r="AS120" s="154">
        <v>8.8560886383056641</v>
      </c>
      <c r="AT120" s="154">
        <v>9.963099479675293</v>
      </c>
      <c r="AU120" s="154">
        <v>37.269371032714844</v>
      </c>
      <c r="AV120" s="154">
        <v>77</v>
      </c>
      <c r="AW120" s="154">
        <v>83</v>
      </c>
      <c r="AX120" s="154">
        <v>55</v>
      </c>
      <c r="AY120" s="154">
        <v>35</v>
      </c>
      <c r="AZ120" s="154">
        <v>18</v>
      </c>
      <c r="BA120" s="154">
        <v>80</v>
      </c>
      <c r="BB120" s="154">
        <v>28.731344223022461</v>
      </c>
      <c r="BC120" s="154">
        <v>30.970149993896484</v>
      </c>
      <c r="BD120" s="154">
        <v>20.522388458251953</v>
      </c>
      <c r="BE120" s="154">
        <v>13.059701919555664</v>
      </c>
      <c r="BF120" s="154">
        <v>6.7164177894592285</v>
      </c>
    </row>
    <row r="121" spans="1:58" x14ac:dyDescent="0.3">
      <c r="A121" s="151" t="s">
        <v>388</v>
      </c>
      <c r="B121" s="151" t="s">
        <v>387</v>
      </c>
      <c r="C121" s="152">
        <v>32</v>
      </c>
      <c r="D121" s="152">
        <v>3</v>
      </c>
      <c r="E121" s="152">
        <v>197</v>
      </c>
      <c r="F121" s="152">
        <v>91.428573608398438</v>
      </c>
      <c r="G121" s="152">
        <v>8.5714282989501953</v>
      </c>
      <c r="H121" s="152">
        <v>214</v>
      </c>
      <c r="I121" s="152">
        <v>3</v>
      </c>
      <c r="J121" s="152">
        <v>6</v>
      </c>
      <c r="K121" s="152">
        <v>1</v>
      </c>
      <c r="L121" s="152">
        <v>1</v>
      </c>
      <c r="M121" s="152">
        <v>7</v>
      </c>
      <c r="N121" s="152">
        <v>95.111114501953125</v>
      </c>
      <c r="O121" s="152">
        <v>1.3333333730697632</v>
      </c>
      <c r="P121" s="152">
        <v>2.6666667461395264</v>
      </c>
      <c r="Q121" s="152">
        <v>0.4444444477558136</v>
      </c>
      <c r="R121" s="152">
        <v>0.4444444477558136</v>
      </c>
      <c r="S121" s="152">
        <v>61</v>
      </c>
      <c r="T121" s="152">
        <v>51</v>
      </c>
      <c r="U121" s="152">
        <v>35</v>
      </c>
      <c r="V121" s="152">
        <v>43</v>
      </c>
      <c r="W121" s="152">
        <v>42</v>
      </c>
      <c r="X121" s="152">
        <v>26.29310417175293</v>
      </c>
      <c r="Y121" s="152">
        <v>21.982759475708008</v>
      </c>
      <c r="Z121" s="152">
        <v>15.086206436157227</v>
      </c>
      <c r="AA121" s="152">
        <v>18.534482955932617</v>
      </c>
      <c r="AB121" s="152">
        <v>18.103448867797852</v>
      </c>
      <c r="AC121" s="152">
        <v>16</v>
      </c>
      <c r="AD121" s="152">
        <v>1</v>
      </c>
      <c r="AE121" s="152">
        <v>119</v>
      </c>
      <c r="AF121" s="152">
        <v>96</v>
      </c>
      <c r="AG121" s="152">
        <v>6.8965516090393066</v>
      </c>
      <c r="AH121" s="152">
        <v>0.43103447556495667</v>
      </c>
      <c r="AI121" s="152">
        <v>51.293102264404297</v>
      </c>
      <c r="AJ121" s="152">
        <v>41.379310607910156</v>
      </c>
      <c r="AK121" s="152">
        <v>27</v>
      </c>
      <c r="AL121" s="152">
        <v>7</v>
      </c>
      <c r="AM121" s="152">
        <v>32</v>
      </c>
      <c r="AN121" s="152">
        <v>26</v>
      </c>
      <c r="AO121" s="152">
        <v>76</v>
      </c>
      <c r="AP121" s="152">
        <v>64</v>
      </c>
      <c r="AQ121" s="152">
        <v>16.071428298950195</v>
      </c>
      <c r="AR121" s="152">
        <v>4.1666665077209473</v>
      </c>
      <c r="AS121" s="152">
        <v>19.047618865966797</v>
      </c>
      <c r="AT121" s="152">
        <v>15.476190567016602</v>
      </c>
      <c r="AU121" s="152">
        <v>45.238094329833984</v>
      </c>
      <c r="AV121" s="152">
        <v>15</v>
      </c>
      <c r="AW121" s="152">
        <v>45</v>
      </c>
      <c r="AX121" s="152">
        <v>25</v>
      </c>
      <c r="AY121" s="152">
        <v>26</v>
      </c>
      <c r="AZ121" s="152">
        <v>9</v>
      </c>
      <c r="BA121" s="152">
        <v>112</v>
      </c>
      <c r="BB121" s="152">
        <v>12.5</v>
      </c>
      <c r="BC121" s="152">
        <v>37.5</v>
      </c>
      <c r="BD121" s="152">
        <v>20.833333969116211</v>
      </c>
      <c r="BE121" s="152">
        <v>21.666666030883789</v>
      </c>
      <c r="BF121" s="152">
        <v>7.5</v>
      </c>
    </row>
    <row r="122" spans="1:58" x14ac:dyDescent="0.3">
      <c r="A122" s="153" t="s">
        <v>322</v>
      </c>
      <c r="B122" s="153" t="s">
        <v>321</v>
      </c>
      <c r="C122" s="154">
        <v>392</v>
      </c>
      <c r="D122" s="154">
        <v>22</v>
      </c>
      <c r="E122" s="154">
        <v>29</v>
      </c>
      <c r="F122" s="154">
        <v>94.685989379882813</v>
      </c>
      <c r="G122" s="154">
        <v>5.3140096664428711</v>
      </c>
      <c r="H122" s="154">
        <v>429</v>
      </c>
      <c r="I122" s="154">
        <v>4</v>
      </c>
      <c r="J122" s="154">
        <v>4</v>
      </c>
      <c r="K122" s="154">
        <v>1</v>
      </c>
      <c r="L122" s="154">
        <v>1</v>
      </c>
      <c r="M122" s="154">
        <v>4</v>
      </c>
      <c r="N122" s="154">
        <v>97.722099304199219</v>
      </c>
      <c r="O122" s="154">
        <v>0.91116172075271606</v>
      </c>
      <c r="P122" s="154">
        <v>0.91116172075271606</v>
      </c>
      <c r="Q122" s="154">
        <v>0.22779043018817902</v>
      </c>
      <c r="R122" s="154">
        <v>0.22779043018817902</v>
      </c>
      <c r="S122" s="154">
        <v>173</v>
      </c>
      <c r="T122" s="154">
        <v>123</v>
      </c>
      <c r="U122" s="154">
        <v>65</v>
      </c>
      <c r="V122" s="154">
        <v>44</v>
      </c>
      <c r="W122" s="154">
        <v>38</v>
      </c>
      <c r="X122" s="154">
        <v>39.051918029785156</v>
      </c>
      <c r="Y122" s="154">
        <v>27.765237808227539</v>
      </c>
      <c r="Z122" s="154">
        <v>14.672686576843262</v>
      </c>
      <c r="AA122" s="154">
        <v>9.9322795867919922</v>
      </c>
      <c r="AB122" s="154">
        <v>8.5778779983520508</v>
      </c>
      <c r="AC122" s="154">
        <v>37</v>
      </c>
      <c r="AD122" s="154">
        <v>10</v>
      </c>
      <c r="AE122" s="154">
        <v>242</v>
      </c>
      <c r="AF122" s="154">
        <v>154</v>
      </c>
      <c r="AG122" s="154">
        <v>8.3521442413330078</v>
      </c>
      <c r="AH122" s="154">
        <v>2.2573363780975342</v>
      </c>
      <c r="AI122" s="154">
        <v>54.627540588378906</v>
      </c>
      <c r="AJ122" s="154">
        <v>34.762981414794922</v>
      </c>
      <c r="AK122" s="154">
        <v>119</v>
      </c>
      <c r="AL122" s="154">
        <v>41</v>
      </c>
      <c r="AM122" s="154">
        <v>42</v>
      </c>
      <c r="AN122" s="154">
        <v>36</v>
      </c>
      <c r="AO122" s="154">
        <v>185</v>
      </c>
      <c r="AP122" s="154">
        <v>20</v>
      </c>
      <c r="AQ122" s="154">
        <v>28.132387161254883</v>
      </c>
      <c r="AR122" s="154">
        <v>9.6926717758178711</v>
      </c>
      <c r="AS122" s="154">
        <v>9.9290781021118164</v>
      </c>
      <c r="AT122" s="154">
        <v>8.5106382369995117</v>
      </c>
      <c r="AU122" s="154">
        <v>43.735225677490234</v>
      </c>
      <c r="AV122" s="154">
        <v>88</v>
      </c>
      <c r="AW122" s="154">
        <v>144</v>
      </c>
      <c r="AX122" s="154">
        <v>100</v>
      </c>
      <c r="AY122" s="154">
        <v>88</v>
      </c>
      <c r="AZ122" s="154">
        <v>6</v>
      </c>
      <c r="BA122" s="154">
        <v>17</v>
      </c>
      <c r="BB122" s="154">
        <v>20.657276153564453</v>
      </c>
      <c r="BC122" s="154">
        <v>33.802818298339844</v>
      </c>
      <c r="BD122" s="154">
        <v>23.474178314208984</v>
      </c>
      <c r="BE122" s="154">
        <v>20.657276153564453</v>
      </c>
      <c r="BF122" s="154">
        <v>1.408450722694397</v>
      </c>
    </row>
    <row r="123" spans="1:58" x14ac:dyDescent="0.3">
      <c r="A123" s="151" t="s">
        <v>299</v>
      </c>
      <c r="B123" s="151" t="s">
        <v>298</v>
      </c>
      <c r="C123" s="152">
        <v>113</v>
      </c>
      <c r="D123" s="152">
        <v>13</v>
      </c>
      <c r="E123" s="152">
        <v>68</v>
      </c>
      <c r="F123" s="152">
        <v>89.682540893554688</v>
      </c>
      <c r="G123" s="152">
        <v>10.317460060119629</v>
      </c>
      <c r="H123" s="152">
        <v>182</v>
      </c>
      <c r="I123" s="152">
        <v>1</v>
      </c>
      <c r="J123" s="152">
        <v>2</v>
      </c>
      <c r="K123" s="152">
        <v>4</v>
      </c>
      <c r="L123" s="152">
        <v>2</v>
      </c>
      <c r="M123" s="152">
        <v>3</v>
      </c>
      <c r="N123" s="152">
        <v>95.287956237792969</v>
      </c>
      <c r="O123" s="152">
        <v>0.52356022596359253</v>
      </c>
      <c r="P123" s="152">
        <v>1.0471204519271851</v>
      </c>
      <c r="Q123" s="152">
        <v>2.0942409038543701</v>
      </c>
      <c r="R123" s="152">
        <v>1.0471204519271851</v>
      </c>
      <c r="S123" s="152">
        <v>1</v>
      </c>
      <c r="T123" s="152">
        <v>19</v>
      </c>
      <c r="U123" s="152">
        <v>39</v>
      </c>
      <c r="V123" s="152">
        <v>41</v>
      </c>
      <c r="W123" s="152">
        <v>94</v>
      </c>
      <c r="X123" s="152">
        <v>0.51546388864517212</v>
      </c>
      <c r="Y123" s="152">
        <v>9.7938146591186523</v>
      </c>
      <c r="Z123" s="152">
        <v>20.103092193603516</v>
      </c>
      <c r="AA123" s="152">
        <v>21.13401985168457</v>
      </c>
      <c r="AB123" s="152">
        <v>48.453609466552734</v>
      </c>
      <c r="AC123" s="152">
        <v>17</v>
      </c>
      <c r="AD123" s="152">
        <v>3</v>
      </c>
      <c r="AE123" s="152">
        <v>164</v>
      </c>
      <c r="AF123" s="152">
        <v>10</v>
      </c>
      <c r="AG123" s="152">
        <v>8.7628870010375977</v>
      </c>
      <c r="AH123" s="152">
        <v>1.5463917255401611</v>
      </c>
      <c r="AI123" s="152">
        <v>84.536079406738281</v>
      </c>
      <c r="AJ123" s="152">
        <v>5.1546392440795898</v>
      </c>
      <c r="AK123" s="152">
        <v>29</v>
      </c>
      <c r="AL123" s="152">
        <v>16</v>
      </c>
      <c r="AM123" s="152">
        <v>22</v>
      </c>
      <c r="AN123" s="152">
        <v>9</v>
      </c>
      <c r="AO123" s="152">
        <v>88</v>
      </c>
      <c r="AP123" s="152">
        <v>30</v>
      </c>
      <c r="AQ123" s="152">
        <v>17.682926177978516</v>
      </c>
      <c r="AR123" s="152">
        <v>9.7560977935791016</v>
      </c>
      <c r="AS123" s="152">
        <v>13.414633750915527</v>
      </c>
      <c r="AT123" s="152">
        <v>5.4878048896789551</v>
      </c>
      <c r="AU123" s="152">
        <v>53.658535003662109</v>
      </c>
      <c r="AV123" s="152">
        <v>28</v>
      </c>
      <c r="AW123" s="152">
        <v>56</v>
      </c>
      <c r="AX123" s="152">
        <v>23</v>
      </c>
      <c r="AY123" s="152">
        <v>27</v>
      </c>
      <c r="AZ123" s="152">
        <v>11</v>
      </c>
      <c r="BA123" s="152">
        <v>49</v>
      </c>
      <c r="BB123" s="152">
        <v>19.310344696044922</v>
      </c>
      <c r="BC123" s="152">
        <v>38.620689392089844</v>
      </c>
      <c r="BD123" s="152">
        <v>15.862069129943848</v>
      </c>
      <c r="BE123" s="152">
        <v>18.620689392089844</v>
      </c>
      <c r="BF123" s="152">
        <v>7.5862069129943848</v>
      </c>
    </row>
    <row r="124" spans="1:58" x14ac:dyDescent="0.3">
      <c r="A124" s="153" t="s">
        <v>343</v>
      </c>
      <c r="B124" s="153" t="s">
        <v>342</v>
      </c>
      <c r="C124" s="154">
        <v>280</v>
      </c>
      <c r="D124" s="154">
        <v>11</v>
      </c>
      <c r="E124" s="154">
        <v>35</v>
      </c>
      <c r="F124" s="154">
        <v>96.219932556152344</v>
      </c>
      <c r="G124" s="154">
        <v>3.7800686359405518</v>
      </c>
      <c r="H124" s="154">
        <v>312</v>
      </c>
      <c r="I124" s="154"/>
      <c r="J124" s="154">
        <v>10</v>
      </c>
      <c r="K124" s="154"/>
      <c r="L124" s="154">
        <v>1</v>
      </c>
      <c r="M124" s="154">
        <v>3</v>
      </c>
      <c r="N124" s="154">
        <v>96.594429016113281</v>
      </c>
      <c r="O124" s="154"/>
      <c r="P124" s="154">
        <v>3.0959751605987549</v>
      </c>
      <c r="Q124" s="154"/>
      <c r="R124" s="154">
        <v>0.30959752202033997</v>
      </c>
      <c r="S124" s="154">
        <v>149</v>
      </c>
      <c r="T124" s="154">
        <v>80</v>
      </c>
      <c r="U124" s="154">
        <v>25</v>
      </c>
      <c r="V124" s="154">
        <v>47</v>
      </c>
      <c r="W124" s="154">
        <v>25</v>
      </c>
      <c r="X124" s="154">
        <v>45.705520629882813</v>
      </c>
      <c r="Y124" s="154">
        <v>24.539876937866211</v>
      </c>
      <c r="Z124" s="154">
        <v>7.6687116622924805</v>
      </c>
      <c r="AA124" s="154">
        <v>14.417178153991699</v>
      </c>
      <c r="AB124" s="154">
        <v>7.6687116622924805</v>
      </c>
      <c r="AC124" s="154">
        <v>22</v>
      </c>
      <c r="AD124" s="154">
        <v>2</v>
      </c>
      <c r="AE124" s="154">
        <v>155</v>
      </c>
      <c r="AF124" s="154">
        <v>147</v>
      </c>
      <c r="AG124" s="154">
        <v>6.7484664916992188</v>
      </c>
      <c r="AH124" s="154">
        <v>0.61349695920944214</v>
      </c>
      <c r="AI124" s="154">
        <v>47.546012878417969</v>
      </c>
      <c r="AJ124" s="154">
        <v>45.092025756835938</v>
      </c>
      <c r="AK124" s="154">
        <v>54</v>
      </c>
      <c r="AL124" s="154">
        <v>25</v>
      </c>
      <c r="AM124" s="154">
        <v>41</v>
      </c>
      <c r="AN124" s="154">
        <v>39</v>
      </c>
      <c r="AO124" s="154">
        <v>156</v>
      </c>
      <c r="AP124" s="154">
        <v>11</v>
      </c>
      <c r="AQ124" s="154">
        <v>17.142856597900391</v>
      </c>
      <c r="AR124" s="154">
        <v>7.9365077018737793</v>
      </c>
      <c r="AS124" s="154">
        <v>13.015872955322266</v>
      </c>
      <c r="AT124" s="154">
        <v>12.380952835083008</v>
      </c>
      <c r="AU124" s="154">
        <v>49.523811340332031</v>
      </c>
      <c r="AV124" s="154">
        <v>53</v>
      </c>
      <c r="AW124" s="154">
        <v>108</v>
      </c>
      <c r="AX124" s="154">
        <v>33</v>
      </c>
      <c r="AY124" s="154">
        <v>64</v>
      </c>
      <c r="AZ124" s="154">
        <v>44</v>
      </c>
      <c r="BA124" s="154">
        <v>24</v>
      </c>
      <c r="BB124" s="154">
        <v>17.54966926574707</v>
      </c>
      <c r="BC124" s="154">
        <v>35.761589050292969</v>
      </c>
      <c r="BD124" s="154">
        <v>10.927152633666992</v>
      </c>
      <c r="BE124" s="154">
        <v>21.192052841186523</v>
      </c>
      <c r="BF124" s="154">
        <v>14.569536209106445</v>
      </c>
    </row>
    <row r="125" spans="1:58" x14ac:dyDescent="0.3">
      <c r="A125" s="151" t="s">
        <v>466</v>
      </c>
      <c r="B125" s="151" t="s">
        <v>465</v>
      </c>
      <c r="C125" s="152">
        <v>100</v>
      </c>
      <c r="D125" s="152">
        <v>8</v>
      </c>
      <c r="E125" s="152">
        <v>128</v>
      </c>
      <c r="F125" s="152">
        <v>92.59259033203125</v>
      </c>
      <c r="G125" s="152">
        <v>7.407407283782959</v>
      </c>
      <c r="H125" s="152">
        <v>221</v>
      </c>
      <c r="I125" s="152">
        <v>6</v>
      </c>
      <c r="J125" s="152">
        <v>4</v>
      </c>
      <c r="K125" s="152"/>
      <c r="L125" s="152">
        <v>1</v>
      </c>
      <c r="M125" s="152">
        <v>4</v>
      </c>
      <c r="N125" s="152">
        <v>95.258621215820313</v>
      </c>
      <c r="O125" s="152">
        <v>2.5862069129943848</v>
      </c>
      <c r="P125" s="152">
        <v>1.7241379022598267</v>
      </c>
      <c r="Q125" s="152"/>
      <c r="R125" s="152">
        <v>0.43103447556495667</v>
      </c>
      <c r="S125" s="152">
        <v>49</v>
      </c>
      <c r="T125" s="152">
        <v>59</v>
      </c>
      <c r="U125" s="152">
        <v>57</v>
      </c>
      <c r="V125" s="152">
        <v>46</v>
      </c>
      <c r="W125" s="152">
        <v>25</v>
      </c>
      <c r="X125" s="152">
        <v>20.762712478637695</v>
      </c>
      <c r="Y125" s="152">
        <v>25</v>
      </c>
      <c r="Z125" s="152">
        <v>24.152542114257813</v>
      </c>
      <c r="AA125" s="152">
        <v>19.491525650024414</v>
      </c>
      <c r="AB125" s="152">
        <v>10.593220710754395</v>
      </c>
      <c r="AC125" s="152">
        <v>27</v>
      </c>
      <c r="AD125" s="152">
        <v>1</v>
      </c>
      <c r="AE125" s="152">
        <v>147</v>
      </c>
      <c r="AF125" s="152">
        <v>61</v>
      </c>
      <c r="AG125" s="152">
        <v>11.440677642822266</v>
      </c>
      <c r="AH125" s="152">
        <v>0.4237288236618042</v>
      </c>
      <c r="AI125" s="152">
        <v>62.288135528564453</v>
      </c>
      <c r="AJ125" s="152">
        <v>25.847457885742188</v>
      </c>
      <c r="AK125" s="152">
        <v>35</v>
      </c>
      <c r="AL125" s="152">
        <v>21</v>
      </c>
      <c r="AM125" s="152">
        <v>22</v>
      </c>
      <c r="AN125" s="152">
        <v>27</v>
      </c>
      <c r="AO125" s="152">
        <v>101</v>
      </c>
      <c r="AP125" s="152">
        <v>30</v>
      </c>
      <c r="AQ125" s="152">
        <v>16.990291595458984</v>
      </c>
      <c r="AR125" s="152">
        <v>10.194174766540527</v>
      </c>
      <c r="AS125" s="152">
        <v>10.679611206054688</v>
      </c>
      <c r="AT125" s="152">
        <v>13.106796264648438</v>
      </c>
      <c r="AU125" s="152">
        <v>49.029125213623047</v>
      </c>
      <c r="AV125" s="152">
        <v>69</v>
      </c>
      <c r="AW125" s="152">
        <v>69</v>
      </c>
      <c r="AX125" s="152">
        <v>47</v>
      </c>
      <c r="AY125" s="152">
        <v>33</v>
      </c>
      <c r="AZ125" s="152">
        <v>14</v>
      </c>
      <c r="BA125" s="152">
        <v>4</v>
      </c>
      <c r="BB125" s="152">
        <v>29.741378784179688</v>
      </c>
      <c r="BC125" s="152">
        <v>29.741378784179688</v>
      </c>
      <c r="BD125" s="152">
        <v>20.258621215820313</v>
      </c>
      <c r="BE125" s="152">
        <v>14.224138259887695</v>
      </c>
      <c r="BF125" s="152">
        <v>6.0344829559326172</v>
      </c>
    </row>
    <row r="126" spans="1:58" x14ac:dyDescent="0.3">
      <c r="A126" s="153" t="s">
        <v>376</v>
      </c>
      <c r="B126" s="153" t="s">
        <v>375</v>
      </c>
      <c r="C126" s="154"/>
      <c r="D126" s="154">
        <v>1</v>
      </c>
      <c r="E126" s="154">
        <v>263</v>
      </c>
      <c r="F126" s="154"/>
      <c r="G126" s="154"/>
      <c r="H126" s="154">
        <v>160</v>
      </c>
      <c r="I126" s="154">
        <v>16</v>
      </c>
      <c r="J126" s="154">
        <v>21</v>
      </c>
      <c r="K126" s="154">
        <v>20</v>
      </c>
      <c r="L126" s="154">
        <v>37</v>
      </c>
      <c r="M126" s="154">
        <v>10</v>
      </c>
      <c r="N126" s="154">
        <v>62.99212646484375</v>
      </c>
      <c r="O126" s="154">
        <v>6.2992124557495117</v>
      </c>
      <c r="P126" s="154">
        <v>8.2677164077758789</v>
      </c>
      <c r="Q126" s="154">
        <v>7.8740158081054688</v>
      </c>
      <c r="R126" s="154">
        <v>14.566928863525391</v>
      </c>
      <c r="S126" s="154">
        <v>64</v>
      </c>
      <c r="T126" s="154">
        <v>96</v>
      </c>
      <c r="U126" s="154">
        <v>54</v>
      </c>
      <c r="V126" s="154">
        <v>37</v>
      </c>
      <c r="W126" s="154">
        <v>13</v>
      </c>
      <c r="X126" s="154">
        <v>24.242424011230469</v>
      </c>
      <c r="Y126" s="154">
        <v>36.363636016845703</v>
      </c>
      <c r="Z126" s="154">
        <v>20.454545974731445</v>
      </c>
      <c r="AA126" s="154">
        <v>14.015151977539063</v>
      </c>
      <c r="AB126" s="154">
        <v>4.9242424964904785</v>
      </c>
      <c r="AC126" s="154">
        <v>21</v>
      </c>
      <c r="AD126" s="154">
        <v>3</v>
      </c>
      <c r="AE126" s="154">
        <v>159</v>
      </c>
      <c r="AF126" s="154">
        <v>81</v>
      </c>
      <c r="AG126" s="154">
        <v>7.9545454978942871</v>
      </c>
      <c r="AH126" s="154">
        <v>1.1363636255264282</v>
      </c>
      <c r="AI126" s="154">
        <v>60.227272033691406</v>
      </c>
      <c r="AJ126" s="154">
        <v>30.681818008422852</v>
      </c>
      <c r="AK126" s="154">
        <v>71</v>
      </c>
      <c r="AL126" s="154">
        <v>19</v>
      </c>
      <c r="AM126" s="154">
        <v>26</v>
      </c>
      <c r="AN126" s="154">
        <v>23</v>
      </c>
      <c r="AO126" s="154">
        <v>105</v>
      </c>
      <c r="AP126" s="154">
        <v>20</v>
      </c>
      <c r="AQ126" s="154">
        <v>29.098360061645508</v>
      </c>
      <c r="AR126" s="154">
        <v>7.7868852615356445</v>
      </c>
      <c r="AS126" s="154">
        <v>10.65573787689209</v>
      </c>
      <c r="AT126" s="154">
        <v>9.4262294769287109</v>
      </c>
      <c r="AU126" s="154">
        <v>43.032787322998047</v>
      </c>
      <c r="AV126" s="154">
        <v>97</v>
      </c>
      <c r="AW126" s="154">
        <v>56</v>
      </c>
      <c r="AX126" s="154">
        <v>30</v>
      </c>
      <c r="AY126" s="154">
        <v>43</v>
      </c>
      <c r="AZ126" s="154">
        <v>7</v>
      </c>
      <c r="BA126" s="154">
        <v>31</v>
      </c>
      <c r="BB126" s="154">
        <v>41.630901336669922</v>
      </c>
      <c r="BC126" s="154">
        <v>24.034334182739258</v>
      </c>
      <c r="BD126" s="154">
        <v>12.875536918640137</v>
      </c>
      <c r="BE126" s="154">
        <v>18.454935073852539</v>
      </c>
      <c r="BF126" s="154">
        <v>3.0042917728424072</v>
      </c>
    </row>
    <row r="127" spans="1:58" x14ac:dyDescent="0.3">
      <c r="A127" s="155" t="s">
        <v>534</v>
      </c>
      <c r="B127" s="155" t="s">
        <v>533</v>
      </c>
      <c r="C127" s="156">
        <v>351</v>
      </c>
      <c r="D127" s="156">
        <v>31</v>
      </c>
      <c r="E127" s="156">
        <v>200</v>
      </c>
      <c r="F127" s="156">
        <v>91.884819030761719</v>
      </c>
      <c r="G127" s="156">
        <v>8.1151828765869141</v>
      </c>
      <c r="H127" s="156">
        <v>491</v>
      </c>
      <c r="I127" s="156">
        <v>18</v>
      </c>
      <c r="J127" s="156">
        <v>15</v>
      </c>
      <c r="K127" s="156">
        <v>8</v>
      </c>
      <c r="L127" s="156">
        <v>19</v>
      </c>
      <c r="M127" s="156">
        <v>31</v>
      </c>
      <c r="N127" s="156">
        <v>89.110710144042969</v>
      </c>
      <c r="O127" s="156">
        <v>3.2667877674102783</v>
      </c>
      <c r="P127" s="156">
        <v>2.722322940826416</v>
      </c>
      <c r="Q127" s="156">
        <v>1.4519056081771851</v>
      </c>
      <c r="R127" s="156">
        <v>3.4482758045196533</v>
      </c>
      <c r="S127" s="156">
        <v>60</v>
      </c>
      <c r="T127" s="156">
        <v>88</v>
      </c>
      <c r="U127" s="156">
        <v>163</v>
      </c>
      <c r="V127" s="156">
        <v>156</v>
      </c>
      <c r="W127" s="156">
        <v>115</v>
      </c>
      <c r="X127" s="156">
        <v>10.30927848815918</v>
      </c>
      <c r="Y127" s="156">
        <v>15.120274543762207</v>
      </c>
      <c r="Z127" s="156">
        <v>28.006872177124023</v>
      </c>
      <c r="AA127" s="156">
        <v>26.804122924804688</v>
      </c>
      <c r="AB127" s="156">
        <v>19.759450912475586</v>
      </c>
      <c r="AC127" s="156">
        <v>36</v>
      </c>
      <c r="AD127" s="156">
        <v>7</v>
      </c>
      <c r="AE127" s="156">
        <v>268</v>
      </c>
      <c r="AF127" s="156">
        <v>271</v>
      </c>
      <c r="AG127" s="156">
        <v>6.1855669021606445</v>
      </c>
      <c r="AH127" s="156">
        <v>1.2027491331100464</v>
      </c>
      <c r="AI127" s="156">
        <v>46.048110961914063</v>
      </c>
      <c r="AJ127" s="156">
        <v>46.563575744628906</v>
      </c>
      <c r="AK127" s="156">
        <v>99</v>
      </c>
      <c r="AL127" s="156">
        <v>41</v>
      </c>
      <c r="AM127" s="156">
        <v>82</v>
      </c>
      <c r="AN127" s="156">
        <v>45</v>
      </c>
      <c r="AO127" s="156">
        <v>249</v>
      </c>
      <c r="AP127" s="156">
        <v>66</v>
      </c>
      <c r="AQ127" s="156">
        <v>19.186046600341797</v>
      </c>
      <c r="AR127" s="156">
        <v>7.9457364082336426</v>
      </c>
      <c r="AS127" s="156">
        <v>15.891472816467285</v>
      </c>
      <c r="AT127" s="156">
        <v>8.7209300994873047</v>
      </c>
      <c r="AU127" s="156">
        <v>48.255813598632813</v>
      </c>
      <c r="AV127" s="156">
        <v>113</v>
      </c>
      <c r="AW127" s="156">
        <v>183</v>
      </c>
      <c r="AX127" s="156">
        <v>111</v>
      </c>
      <c r="AY127" s="156">
        <v>107</v>
      </c>
      <c r="AZ127" s="156">
        <v>24</v>
      </c>
      <c r="BA127" s="156">
        <v>44</v>
      </c>
      <c r="BB127" s="156">
        <v>21.003717422485352</v>
      </c>
      <c r="BC127" s="156">
        <v>34.014869689941406</v>
      </c>
      <c r="BD127" s="156">
        <v>20.631969451904297</v>
      </c>
      <c r="BE127" s="156">
        <v>19.88847541809082</v>
      </c>
      <c r="BF127" s="156">
        <v>4.4609665870666504</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79998168889431442"/>
  </sheetPr>
  <dimension ref="A1:BF22"/>
  <sheetViews>
    <sheetView workbookViewId="0">
      <selection activeCell="H1" sqref="H1:M1048576"/>
    </sheetView>
  </sheetViews>
  <sheetFormatPr defaultRowHeight="14.4" x14ac:dyDescent="0.3"/>
  <cols>
    <col min="1" max="1" width="14.44140625" customWidth="1"/>
    <col min="2" max="2" width="39" bestFit="1" customWidth="1"/>
    <col min="3" max="3" width="11.88671875" customWidth="1"/>
    <col min="4" max="4" width="7.44140625" customWidth="1"/>
    <col min="5" max="5" width="16" customWidth="1"/>
    <col min="6" max="6" width="13.88671875" customWidth="1"/>
    <col min="7" max="7" width="9.44140625" customWidth="1"/>
    <col min="8" max="8" width="7.44140625" customWidth="1"/>
    <col min="9" max="9" width="8.109375" customWidth="1"/>
    <col min="10" max="11" width="7.5546875" customWidth="1"/>
    <col min="12" max="12" width="7.33203125" customWidth="1"/>
    <col min="13" max="13" width="15" customWidth="1"/>
    <col min="14" max="14" width="9.44140625" customWidth="1"/>
    <col min="15" max="15" width="10.109375" customWidth="1"/>
    <col min="16" max="17" width="9.5546875" customWidth="1"/>
    <col min="18" max="18" width="9.33203125" customWidth="1"/>
    <col min="19" max="19" width="10.109375" customWidth="1"/>
    <col min="20" max="22" width="7.109375" customWidth="1"/>
    <col min="23" max="23" width="10.33203125" customWidth="1"/>
    <col min="24" max="24" width="12.109375" customWidth="1"/>
    <col min="25" max="26" width="9.109375" customWidth="1"/>
    <col min="27" max="27" width="9.109375" style="4" customWidth="1"/>
    <col min="28" max="28" width="12.33203125" customWidth="1"/>
    <col min="29" max="29" width="6.5546875" customWidth="1"/>
    <col min="30" max="30" width="10.5546875" customWidth="1"/>
    <col min="31" max="31" width="7.5546875" customWidth="1"/>
    <col min="32" max="32" width="14.6640625" customWidth="1"/>
    <col min="33" max="33" width="8.5546875" customWidth="1"/>
    <col min="34" max="34" width="8.6640625" customWidth="1"/>
    <col min="35" max="35" width="9.5546875" customWidth="1"/>
    <col min="36" max="36" width="12.44140625" customWidth="1"/>
    <col min="37" max="38" width="5.109375" customWidth="1"/>
    <col min="39" max="40" width="6.109375" customWidth="1"/>
    <col min="41" max="41" width="5.109375" customWidth="1"/>
    <col min="42" max="42" width="12.44140625" customWidth="1"/>
    <col min="43" max="44" width="7.109375" customWidth="1"/>
    <col min="45" max="46" width="8.109375" customWidth="1"/>
    <col min="47" max="47" width="7.109375" customWidth="1"/>
    <col min="48" max="52" width="6.109375" customWidth="1"/>
    <col min="53" max="53" width="13.44140625" customWidth="1"/>
    <col min="54" max="58" width="8.109375" customWidth="1"/>
    <col min="59" max="62" width="23.6640625" customWidth="1"/>
    <col min="63" max="63" width="31" customWidth="1"/>
  </cols>
  <sheetData>
    <row r="1" spans="1:58" x14ac:dyDescent="0.3">
      <c r="A1" s="30" t="s">
        <v>261</v>
      </c>
      <c r="B1" s="30" t="s">
        <v>260</v>
      </c>
      <c r="C1" s="30" t="s">
        <v>604</v>
      </c>
      <c r="D1" s="30" t="s">
        <v>605</v>
      </c>
      <c r="E1" s="30" t="s">
        <v>606</v>
      </c>
      <c r="F1" s="30" t="s">
        <v>607</v>
      </c>
      <c r="G1" s="30" t="s">
        <v>608</v>
      </c>
      <c r="H1" s="30" t="s">
        <v>609</v>
      </c>
      <c r="I1" s="30" t="s">
        <v>610</v>
      </c>
      <c r="J1" s="30" t="s">
        <v>611</v>
      </c>
      <c r="K1" s="30" t="s">
        <v>612</v>
      </c>
      <c r="L1" s="30" t="s">
        <v>613</v>
      </c>
      <c r="M1" s="30" t="s">
        <v>614</v>
      </c>
      <c r="N1" s="30" t="s">
        <v>615</v>
      </c>
      <c r="O1" s="30" t="s">
        <v>616</v>
      </c>
      <c r="P1" s="30" t="s">
        <v>617</v>
      </c>
      <c r="Q1" s="30" t="s">
        <v>618</v>
      </c>
      <c r="R1" s="30" t="s">
        <v>619</v>
      </c>
      <c r="S1" s="30" t="s">
        <v>620</v>
      </c>
      <c r="T1" s="30" t="s">
        <v>621</v>
      </c>
      <c r="U1" s="30" t="s">
        <v>622</v>
      </c>
      <c r="V1" s="30" t="s">
        <v>623</v>
      </c>
      <c r="W1" s="30" t="s">
        <v>624</v>
      </c>
      <c r="X1" s="30" t="s">
        <v>625</v>
      </c>
      <c r="Y1" s="30" t="s">
        <v>626</v>
      </c>
      <c r="Z1" s="30" t="s">
        <v>627</v>
      </c>
      <c r="AA1" s="30" t="s">
        <v>628</v>
      </c>
      <c r="AB1" s="30" t="s">
        <v>629</v>
      </c>
      <c r="AC1" s="30" t="s">
        <v>630</v>
      </c>
      <c r="AD1" s="30" t="s">
        <v>631</v>
      </c>
      <c r="AE1" s="30" t="s">
        <v>632</v>
      </c>
      <c r="AF1" s="30" t="s">
        <v>633</v>
      </c>
      <c r="AG1" s="30" t="s">
        <v>634</v>
      </c>
      <c r="AH1" s="30" t="s">
        <v>635</v>
      </c>
      <c r="AI1" s="30" t="s">
        <v>636</v>
      </c>
      <c r="AJ1" s="30" t="s">
        <v>637</v>
      </c>
      <c r="AK1" s="30" t="s">
        <v>638</v>
      </c>
      <c r="AL1" s="30" t="s">
        <v>639</v>
      </c>
      <c r="AM1" s="30" t="s">
        <v>640</v>
      </c>
      <c r="AN1" s="30" t="s">
        <v>641</v>
      </c>
      <c r="AO1" s="30" t="s">
        <v>642</v>
      </c>
      <c r="AP1" s="30" t="s">
        <v>643</v>
      </c>
      <c r="AQ1" s="30" t="s">
        <v>644</v>
      </c>
      <c r="AR1" s="30" t="s">
        <v>645</v>
      </c>
      <c r="AS1" s="30" t="s">
        <v>646</v>
      </c>
      <c r="AT1" s="30" t="s">
        <v>647</v>
      </c>
      <c r="AU1" s="30" t="s">
        <v>648</v>
      </c>
      <c r="AV1" s="30" t="s">
        <v>649</v>
      </c>
      <c r="AW1" s="30" t="s">
        <v>650</v>
      </c>
      <c r="AX1" s="30" t="s">
        <v>651</v>
      </c>
      <c r="AY1" s="30" t="s">
        <v>652</v>
      </c>
      <c r="AZ1" s="30" t="s">
        <v>653</v>
      </c>
      <c r="BA1" s="30" t="s">
        <v>654</v>
      </c>
      <c r="BB1" s="30" t="s">
        <v>655</v>
      </c>
      <c r="BC1" s="30" t="s">
        <v>656</v>
      </c>
      <c r="BD1" s="30" t="s">
        <v>657</v>
      </c>
      <c r="BE1" s="30" t="s">
        <v>658</v>
      </c>
      <c r="BF1" s="30" t="s">
        <v>659</v>
      </c>
    </row>
    <row r="2" spans="1:58" x14ac:dyDescent="0.3">
      <c r="A2" s="149" t="s">
        <v>319</v>
      </c>
      <c r="B2" s="149" t="s">
        <v>265</v>
      </c>
      <c r="C2" s="150">
        <v>1282</v>
      </c>
      <c r="D2" s="150">
        <v>90</v>
      </c>
      <c r="E2" s="150">
        <v>695</v>
      </c>
      <c r="F2" s="150">
        <v>93.440231323242188</v>
      </c>
      <c r="G2" s="150">
        <v>6.5597667694091797</v>
      </c>
      <c r="H2" s="150">
        <v>1933</v>
      </c>
      <c r="I2" s="150">
        <v>34</v>
      </c>
      <c r="J2" s="150">
        <v>12</v>
      </c>
      <c r="K2" s="150">
        <v>49</v>
      </c>
      <c r="L2" s="150">
        <v>18</v>
      </c>
      <c r="M2" s="150">
        <v>21</v>
      </c>
      <c r="N2" s="150">
        <v>94.477027893066406</v>
      </c>
      <c r="O2" s="150">
        <v>1.6617790460586548</v>
      </c>
      <c r="P2" s="150">
        <v>0.58651024103164673</v>
      </c>
      <c r="Q2" s="150">
        <v>2.3949170112609863</v>
      </c>
      <c r="R2" s="150">
        <v>0.87976539134979248</v>
      </c>
      <c r="S2" s="150">
        <v>977</v>
      </c>
      <c r="T2" s="150">
        <v>312</v>
      </c>
      <c r="U2" s="150">
        <v>266</v>
      </c>
      <c r="V2" s="150">
        <v>275</v>
      </c>
      <c r="W2" s="150">
        <v>237</v>
      </c>
      <c r="X2" s="150">
        <v>47.266571044921875</v>
      </c>
      <c r="Y2" s="150">
        <v>15.094339370727539</v>
      </c>
      <c r="Z2" s="150">
        <v>12.868891716003418</v>
      </c>
      <c r="AA2" s="150">
        <v>13.304306030273438</v>
      </c>
      <c r="AB2" s="150">
        <v>11.465892791748047</v>
      </c>
      <c r="AC2" s="150">
        <v>186</v>
      </c>
      <c r="AD2" s="150">
        <v>19</v>
      </c>
      <c r="AE2" s="150">
        <v>1203</v>
      </c>
      <c r="AF2" s="150">
        <v>659</v>
      </c>
      <c r="AG2" s="150">
        <v>8.9985485076904297</v>
      </c>
      <c r="AH2" s="150">
        <v>0.91920655965805054</v>
      </c>
      <c r="AI2" s="150">
        <v>58.200290679931641</v>
      </c>
      <c r="AJ2" s="150">
        <v>31.881954193115234</v>
      </c>
      <c r="AK2" s="150">
        <v>449</v>
      </c>
      <c r="AL2" s="150">
        <v>150</v>
      </c>
      <c r="AM2" s="150">
        <v>222</v>
      </c>
      <c r="AN2" s="150">
        <v>171</v>
      </c>
      <c r="AO2" s="150">
        <v>811</v>
      </c>
      <c r="AP2" s="150">
        <v>264</v>
      </c>
      <c r="AQ2" s="150">
        <v>24.902938842773438</v>
      </c>
      <c r="AR2" s="150">
        <v>8.3194675445556641</v>
      </c>
      <c r="AS2" s="150">
        <v>12.312811851501465</v>
      </c>
      <c r="AT2" s="150">
        <v>9.4841928482055664</v>
      </c>
      <c r="AU2" s="150">
        <v>44.980587005615234</v>
      </c>
      <c r="AV2" s="150">
        <v>414</v>
      </c>
      <c r="AW2" s="150">
        <v>540</v>
      </c>
      <c r="AX2" s="150">
        <v>395</v>
      </c>
      <c r="AY2" s="150">
        <v>335</v>
      </c>
      <c r="AZ2" s="150">
        <v>126</v>
      </c>
      <c r="BA2" s="150">
        <v>257</v>
      </c>
      <c r="BB2" s="150">
        <v>22.872928619384766</v>
      </c>
      <c r="BC2" s="150">
        <v>29.834253311157227</v>
      </c>
      <c r="BD2" s="150">
        <v>21.823204040527344</v>
      </c>
      <c r="BE2" s="150">
        <v>18.50828742980957</v>
      </c>
      <c r="BF2" s="150">
        <v>6.9613261222839355</v>
      </c>
    </row>
    <row r="3" spans="1:58" x14ac:dyDescent="0.3">
      <c r="A3" s="151" t="s">
        <v>315</v>
      </c>
      <c r="B3" s="151" t="s">
        <v>270</v>
      </c>
      <c r="C3" s="152">
        <v>983</v>
      </c>
      <c r="D3" s="152">
        <v>96</v>
      </c>
      <c r="E3" s="152">
        <v>1164</v>
      </c>
      <c r="F3" s="152">
        <v>91.102874755859375</v>
      </c>
      <c r="G3" s="152">
        <v>8.8971271514892578</v>
      </c>
      <c r="H3" s="152">
        <v>2004</v>
      </c>
      <c r="I3" s="152">
        <v>42</v>
      </c>
      <c r="J3" s="152">
        <v>75</v>
      </c>
      <c r="K3" s="152">
        <v>24</v>
      </c>
      <c r="L3" s="152">
        <v>37</v>
      </c>
      <c r="M3" s="152">
        <v>61</v>
      </c>
      <c r="N3" s="152">
        <v>91.84234619140625</v>
      </c>
      <c r="O3" s="152">
        <v>1.9248396158218384</v>
      </c>
      <c r="P3" s="152">
        <v>3.437213659286499</v>
      </c>
      <c r="Q3" s="152">
        <v>1.0999083518981934</v>
      </c>
      <c r="R3" s="152">
        <v>1.6956920623779297</v>
      </c>
      <c r="S3" s="152">
        <v>524</v>
      </c>
      <c r="T3" s="152">
        <v>471</v>
      </c>
      <c r="U3" s="152">
        <v>461</v>
      </c>
      <c r="V3" s="152">
        <v>425</v>
      </c>
      <c r="W3" s="152">
        <v>362</v>
      </c>
      <c r="X3" s="152">
        <v>23.361568450927734</v>
      </c>
      <c r="Y3" s="152">
        <v>20.998662948608398</v>
      </c>
      <c r="Z3" s="152">
        <v>20.552831649780273</v>
      </c>
      <c r="AA3" s="152">
        <v>18.947837829589844</v>
      </c>
      <c r="AB3" s="152">
        <v>16.13909912109375</v>
      </c>
      <c r="AC3" s="152">
        <v>183</v>
      </c>
      <c r="AD3" s="152">
        <v>40</v>
      </c>
      <c r="AE3" s="152">
        <v>1220</v>
      </c>
      <c r="AF3" s="152">
        <v>800</v>
      </c>
      <c r="AG3" s="152">
        <v>8.1587162017822266</v>
      </c>
      <c r="AH3" s="152">
        <v>1.7833259105682373</v>
      </c>
      <c r="AI3" s="152">
        <v>54.391441345214844</v>
      </c>
      <c r="AJ3" s="152">
        <v>35.666519165039063</v>
      </c>
      <c r="AK3" s="152">
        <v>401</v>
      </c>
      <c r="AL3" s="152">
        <v>158</v>
      </c>
      <c r="AM3" s="152">
        <v>254</v>
      </c>
      <c r="AN3" s="152">
        <v>190</v>
      </c>
      <c r="AO3" s="152">
        <v>964</v>
      </c>
      <c r="AP3" s="152">
        <v>276</v>
      </c>
      <c r="AQ3" s="152">
        <v>20.386375427246094</v>
      </c>
      <c r="AR3" s="152">
        <v>8.032536506652832</v>
      </c>
      <c r="AS3" s="152">
        <v>12.913065910339355</v>
      </c>
      <c r="AT3" s="152">
        <v>9.6593799591064453</v>
      </c>
      <c r="AU3" s="152">
        <v>49.008644104003906</v>
      </c>
      <c r="AV3" s="152">
        <v>481</v>
      </c>
      <c r="AW3" s="152">
        <v>501</v>
      </c>
      <c r="AX3" s="152">
        <v>346</v>
      </c>
      <c r="AY3" s="152">
        <v>464</v>
      </c>
      <c r="AZ3" s="152">
        <v>92</v>
      </c>
      <c r="BA3" s="152">
        <v>359</v>
      </c>
      <c r="BB3" s="152">
        <v>25.530786514282227</v>
      </c>
      <c r="BC3" s="152">
        <v>26.592357635498047</v>
      </c>
      <c r="BD3" s="152">
        <v>18.365180969238281</v>
      </c>
      <c r="BE3" s="152">
        <v>24.628450393676758</v>
      </c>
      <c r="BF3" s="152">
        <v>4.8832273483276367</v>
      </c>
    </row>
    <row r="4" spans="1:58" x14ac:dyDescent="0.3">
      <c r="A4" s="153" t="s">
        <v>307</v>
      </c>
      <c r="B4" s="153" t="s">
        <v>275</v>
      </c>
      <c r="C4" s="154">
        <v>858</v>
      </c>
      <c r="D4" s="154">
        <v>99</v>
      </c>
      <c r="E4" s="154">
        <v>893</v>
      </c>
      <c r="F4" s="154">
        <v>89.655174255371094</v>
      </c>
      <c r="G4" s="154">
        <v>10.344827651977539</v>
      </c>
      <c r="H4" s="154">
        <v>1697</v>
      </c>
      <c r="I4" s="154">
        <v>24</v>
      </c>
      <c r="J4" s="154">
        <v>37</v>
      </c>
      <c r="K4" s="154">
        <v>16</v>
      </c>
      <c r="L4" s="154">
        <v>30</v>
      </c>
      <c r="M4" s="154">
        <v>46</v>
      </c>
      <c r="N4" s="154">
        <v>94.068733215332031</v>
      </c>
      <c r="O4" s="154">
        <v>1.3303769826889038</v>
      </c>
      <c r="P4" s="154">
        <v>2.0509977340698242</v>
      </c>
      <c r="Q4" s="154">
        <v>0.88691794872283936</v>
      </c>
      <c r="R4" s="154">
        <v>1.6629711389541626</v>
      </c>
      <c r="S4" s="154">
        <v>314</v>
      </c>
      <c r="T4" s="154">
        <v>366</v>
      </c>
      <c r="U4" s="154">
        <v>544</v>
      </c>
      <c r="V4" s="154">
        <v>343</v>
      </c>
      <c r="W4" s="154">
        <v>283</v>
      </c>
      <c r="X4" s="154">
        <v>16.972972869873047</v>
      </c>
      <c r="Y4" s="154">
        <v>19.783782958984375</v>
      </c>
      <c r="Z4" s="154">
        <v>29.405405044555664</v>
      </c>
      <c r="AA4" s="154">
        <v>18.54054069519043</v>
      </c>
      <c r="AB4" s="154">
        <v>15.297297477722168</v>
      </c>
      <c r="AC4" s="154">
        <v>131</v>
      </c>
      <c r="AD4" s="154">
        <v>33</v>
      </c>
      <c r="AE4" s="154">
        <v>989</v>
      </c>
      <c r="AF4" s="154">
        <v>697</v>
      </c>
      <c r="AG4" s="154">
        <v>7.0810809135437012</v>
      </c>
      <c r="AH4" s="154">
        <v>1.7837837934494019</v>
      </c>
      <c r="AI4" s="154">
        <v>53.459461212158203</v>
      </c>
      <c r="AJ4" s="154">
        <v>37.675674438476563</v>
      </c>
      <c r="AK4" s="154">
        <v>305</v>
      </c>
      <c r="AL4" s="154">
        <v>123</v>
      </c>
      <c r="AM4" s="154">
        <v>166</v>
      </c>
      <c r="AN4" s="154">
        <v>183</v>
      </c>
      <c r="AO4" s="154">
        <v>795</v>
      </c>
      <c r="AP4" s="154">
        <v>278</v>
      </c>
      <c r="AQ4" s="154">
        <v>19.402034759521484</v>
      </c>
      <c r="AR4" s="154">
        <v>7.824427604675293</v>
      </c>
      <c r="AS4" s="154">
        <v>10.559796333312988</v>
      </c>
      <c r="AT4" s="154">
        <v>11.641221046447754</v>
      </c>
      <c r="AU4" s="154">
        <v>50.572517395019531</v>
      </c>
      <c r="AV4" s="154">
        <v>352</v>
      </c>
      <c r="AW4" s="154">
        <v>549</v>
      </c>
      <c r="AX4" s="154">
        <v>300</v>
      </c>
      <c r="AY4" s="154">
        <v>258</v>
      </c>
      <c r="AZ4" s="154">
        <v>88</v>
      </c>
      <c r="BA4" s="154">
        <v>303</v>
      </c>
      <c r="BB4" s="154">
        <v>22.753717422485352</v>
      </c>
      <c r="BC4" s="154">
        <v>35.488040924072266</v>
      </c>
      <c r="BD4" s="154">
        <v>19.392372131347656</v>
      </c>
      <c r="BE4" s="154">
        <v>16.677440643310547</v>
      </c>
      <c r="BF4" s="154">
        <v>5.6884293556213379</v>
      </c>
    </row>
    <row r="5" spans="1:58" x14ac:dyDescent="0.3">
      <c r="A5" s="151" t="s">
        <v>285</v>
      </c>
      <c r="B5" s="151" t="s">
        <v>279</v>
      </c>
      <c r="C5" s="152">
        <v>613</v>
      </c>
      <c r="D5" s="152">
        <v>61</v>
      </c>
      <c r="E5" s="152">
        <v>892</v>
      </c>
      <c r="F5" s="152">
        <v>90.949554443359375</v>
      </c>
      <c r="G5" s="152">
        <v>9.050445556640625</v>
      </c>
      <c r="H5" s="152">
        <v>1395</v>
      </c>
      <c r="I5" s="152">
        <v>33</v>
      </c>
      <c r="J5" s="152">
        <v>34</v>
      </c>
      <c r="K5" s="152">
        <v>24</v>
      </c>
      <c r="L5" s="152">
        <v>40</v>
      </c>
      <c r="M5" s="152">
        <v>40</v>
      </c>
      <c r="N5" s="152">
        <v>91.41546630859375</v>
      </c>
      <c r="O5" s="152">
        <v>2.1625163555145264</v>
      </c>
      <c r="P5" s="152">
        <v>2.2280471324920654</v>
      </c>
      <c r="Q5" s="152">
        <v>1.5727392435073853</v>
      </c>
      <c r="R5" s="152">
        <v>2.6212320327758789</v>
      </c>
      <c r="S5" s="152">
        <v>173</v>
      </c>
      <c r="T5" s="152">
        <v>332</v>
      </c>
      <c r="U5" s="152">
        <v>396</v>
      </c>
      <c r="V5" s="152">
        <v>336</v>
      </c>
      <c r="W5" s="152">
        <v>329</v>
      </c>
      <c r="X5" s="152">
        <v>11.04725456237793</v>
      </c>
      <c r="Y5" s="152">
        <v>21.200510025024414</v>
      </c>
      <c r="Z5" s="152">
        <v>25.287355422973633</v>
      </c>
      <c r="AA5" s="152">
        <v>21.455938339233398</v>
      </c>
      <c r="AB5" s="152">
        <v>21.008939743041992</v>
      </c>
      <c r="AC5" s="152">
        <v>110</v>
      </c>
      <c r="AD5" s="152">
        <v>29</v>
      </c>
      <c r="AE5" s="152">
        <v>948</v>
      </c>
      <c r="AF5" s="152">
        <v>479</v>
      </c>
      <c r="AG5" s="152">
        <v>7.0242657661437988</v>
      </c>
      <c r="AH5" s="152">
        <v>1.8518518209457397</v>
      </c>
      <c r="AI5" s="152">
        <v>60.536399841308594</v>
      </c>
      <c r="AJ5" s="152">
        <v>30.587484359741211</v>
      </c>
      <c r="AK5" s="152">
        <v>270</v>
      </c>
      <c r="AL5" s="152">
        <v>95</v>
      </c>
      <c r="AM5" s="152">
        <v>114</v>
      </c>
      <c r="AN5" s="152">
        <v>148</v>
      </c>
      <c r="AO5" s="152">
        <v>727</v>
      </c>
      <c r="AP5" s="152">
        <v>212</v>
      </c>
      <c r="AQ5" s="152">
        <v>19.940916061401367</v>
      </c>
      <c r="AR5" s="152">
        <v>7.0162482261657715</v>
      </c>
      <c r="AS5" s="152">
        <v>8.4194974899291992</v>
      </c>
      <c r="AT5" s="152">
        <v>10.930576324462891</v>
      </c>
      <c r="AU5" s="152">
        <v>53.692760467529297</v>
      </c>
      <c r="AV5" s="152">
        <v>182</v>
      </c>
      <c r="AW5" s="152">
        <v>453</v>
      </c>
      <c r="AX5" s="152">
        <v>244</v>
      </c>
      <c r="AY5" s="152">
        <v>238</v>
      </c>
      <c r="AZ5" s="152">
        <v>109</v>
      </c>
      <c r="BA5" s="152">
        <v>340</v>
      </c>
      <c r="BB5" s="152">
        <v>14.845024108886719</v>
      </c>
      <c r="BC5" s="152">
        <v>36.949428558349609</v>
      </c>
      <c r="BD5" s="152">
        <v>19.902120590209961</v>
      </c>
      <c r="BE5" s="152">
        <v>19.412723541259766</v>
      </c>
      <c r="BF5" s="152">
        <v>8.8907012939453125</v>
      </c>
    </row>
    <row r="6" spans="1:58" x14ac:dyDescent="0.3">
      <c r="A6" s="153" t="s">
        <v>294</v>
      </c>
      <c r="B6" s="153" t="s">
        <v>282</v>
      </c>
      <c r="C6" s="154">
        <v>1324</v>
      </c>
      <c r="D6" s="154">
        <v>104</v>
      </c>
      <c r="E6" s="154">
        <v>836</v>
      </c>
      <c r="F6" s="154">
        <v>92.717086791992188</v>
      </c>
      <c r="G6" s="154">
        <v>7.2829132080078125</v>
      </c>
      <c r="H6" s="154">
        <v>1893</v>
      </c>
      <c r="I6" s="154">
        <v>36</v>
      </c>
      <c r="J6" s="154">
        <v>60</v>
      </c>
      <c r="K6" s="154">
        <v>212</v>
      </c>
      <c r="L6" s="154">
        <v>23</v>
      </c>
      <c r="M6" s="154">
        <v>40</v>
      </c>
      <c r="N6" s="154">
        <v>85.116905212402344</v>
      </c>
      <c r="O6" s="154">
        <v>1.6187050342559814</v>
      </c>
      <c r="P6" s="154">
        <v>2.6978416442871094</v>
      </c>
      <c r="Q6" s="154">
        <v>9.532374382019043</v>
      </c>
      <c r="R6" s="154">
        <v>1.0341726541519165</v>
      </c>
      <c r="S6" s="154">
        <v>1023</v>
      </c>
      <c r="T6" s="154">
        <v>450</v>
      </c>
      <c r="U6" s="154">
        <v>296</v>
      </c>
      <c r="V6" s="154">
        <v>297</v>
      </c>
      <c r="W6" s="154">
        <v>198</v>
      </c>
      <c r="X6" s="154">
        <v>45.185512542724609</v>
      </c>
      <c r="Y6" s="154">
        <v>19.876325607299805</v>
      </c>
      <c r="Z6" s="154">
        <v>13.07420539855957</v>
      </c>
      <c r="AA6" s="154">
        <v>13.118374824523926</v>
      </c>
      <c r="AB6" s="154">
        <v>8.7455825805664063</v>
      </c>
      <c r="AC6" s="154">
        <v>187</v>
      </c>
      <c r="AD6" s="154">
        <v>34</v>
      </c>
      <c r="AE6" s="154">
        <v>1222</v>
      </c>
      <c r="AF6" s="154">
        <v>821</v>
      </c>
      <c r="AG6" s="154">
        <v>8.2597169876098633</v>
      </c>
      <c r="AH6" s="154">
        <v>1.5017668008804321</v>
      </c>
      <c r="AI6" s="154">
        <v>53.975265502929688</v>
      </c>
      <c r="AJ6" s="154">
        <v>36.263252258300781</v>
      </c>
      <c r="AK6" s="154">
        <v>554</v>
      </c>
      <c r="AL6" s="154">
        <v>157</v>
      </c>
      <c r="AM6" s="154">
        <v>259</v>
      </c>
      <c r="AN6" s="154">
        <v>161</v>
      </c>
      <c r="AO6" s="154">
        <v>850</v>
      </c>
      <c r="AP6" s="154">
        <v>283</v>
      </c>
      <c r="AQ6" s="154">
        <v>27.965673446655273</v>
      </c>
      <c r="AR6" s="154">
        <v>7.9252901077270508</v>
      </c>
      <c r="AS6" s="154">
        <v>13.07420539855957</v>
      </c>
      <c r="AT6" s="154">
        <v>8.1272087097167969</v>
      </c>
      <c r="AU6" s="154">
        <v>42.907623291015625</v>
      </c>
      <c r="AV6" s="154">
        <v>362</v>
      </c>
      <c r="AW6" s="154">
        <v>602</v>
      </c>
      <c r="AX6" s="154">
        <v>435</v>
      </c>
      <c r="AY6" s="154">
        <v>488</v>
      </c>
      <c r="AZ6" s="154">
        <v>182</v>
      </c>
      <c r="BA6" s="154">
        <v>195</v>
      </c>
      <c r="BB6" s="154">
        <v>17.496374130249023</v>
      </c>
      <c r="BC6" s="154">
        <v>29.096181869506836</v>
      </c>
      <c r="BD6" s="154">
        <v>21.024648666381836</v>
      </c>
      <c r="BE6" s="154">
        <v>23.586273193359375</v>
      </c>
      <c r="BF6" s="154">
        <v>8.7965202331542969</v>
      </c>
    </row>
    <row r="7" spans="1:58" x14ac:dyDescent="0.3">
      <c r="A7" s="151" t="s">
        <v>370</v>
      </c>
      <c r="B7" s="151" t="s">
        <v>286</v>
      </c>
      <c r="C7" s="152">
        <v>462</v>
      </c>
      <c r="D7" s="152">
        <v>42</v>
      </c>
      <c r="E7" s="152">
        <v>647</v>
      </c>
      <c r="F7" s="152">
        <v>91.666664123535156</v>
      </c>
      <c r="G7" s="152">
        <v>8.3333330154418945</v>
      </c>
      <c r="H7" s="152">
        <v>1003</v>
      </c>
      <c r="I7" s="152">
        <v>42</v>
      </c>
      <c r="J7" s="152">
        <v>18</v>
      </c>
      <c r="K7" s="152">
        <v>14</v>
      </c>
      <c r="L7" s="152">
        <v>11</v>
      </c>
      <c r="M7" s="152">
        <v>63</v>
      </c>
      <c r="N7" s="152">
        <v>92.1875</v>
      </c>
      <c r="O7" s="152">
        <v>3.8602941036224365</v>
      </c>
      <c r="P7" s="152">
        <v>1.654411792755127</v>
      </c>
      <c r="Q7" s="152">
        <v>1.2867647409439087</v>
      </c>
      <c r="R7" s="152">
        <v>1.0110293626785278</v>
      </c>
      <c r="S7" s="152">
        <v>343</v>
      </c>
      <c r="T7" s="152">
        <v>198</v>
      </c>
      <c r="U7" s="152">
        <v>220</v>
      </c>
      <c r="V7" s="152">
        <v>171</v>
      </c>
      <c r="W7" s="152">
        <v>219</v>
      </c>
      <c r="X7" s="152">
        <v>29.800174713134766</v>
      </c>
      <c r="Y7" s="152">
        <v>17.202432632446289</v>
      </c>
      <c r="Z7" s="152">
        <v>19.113813400268555</v>
      </c>
      <c r="AA7" s="152">
        <v>14.856646537780762</v>
      </c>
      <c r="AB7" s="152">
        <v>19.026933670043945</v>
      </c>
      <c r="AC7" s="152">
        <v>78</v>
      </c>
      <c r="AD7" s="152">
        <v>7</v>
      </c>
      <c r="AE7" s="152">
        <v>555</v>
      </c>
      <c r="AF7" s="152">
        <v>511</v>
      </c>
      <c r="AG7" s="152">
        <v>6.7767157554626465</v>
      </c>
      <c r="AH7" s="152">
        <v>0.60816681385040283</v>
      </c>
      <c r="AI7" s="152">
        <v>48.218940734863281</v>
      </c>
      <c r="AJ7" s="152">
        <v>44.396175384521484</v>
      </c>
      <c r="AK7" s="152">
        <v>240</v>
      </c>
      <c r="AL7" s="152">
        <v>97</v>
      </c>
      <c r="AM7" s="152">
        <v>139</v>
      </c>
      <c r="AN7" s="152">
        <v>105</v>
      </c>
      <c r="AO7" s="152">
        <v>481</v>
      </c>
      <c r="AP7" s="152">
        <v>89</v>
      </c>
      <c r="AQ7" s="152">
        <v>22.598869323730469</v>
      </c>
      <c r="AR7" s="152">
        <v>9.1337099075317383</v>
      </c>
      <c r="AS7" s="152">
        <v>13.088512420654297</v>
      </c>
      <c r="AT7" s="152">
        <v>9.8870058059692383</v>
      </c>
      <c r="AU7" s="152">
        <v>45.291900634765625</v>
      </c>
      <c r="AV7" s="152">
        <v>251</v>
      </c>
      <c r="AW7" s="152">
        <v>276</v>
      </c>
      <c r="AX7" s="152">
        <v>173</v>
      </c>
      <c r="AY7" s="152">
        <v>203</v>
      </c>
      <c r="AZ7" s="152">
        <v>89</v>
      </c>
      <c r="BA7" s="152">
        <v>159</v>
      </c>
      <c r="BB7" s="152">
        <v>25.302419662475586</v>
      </c>
      <c r="BC7" s="152">
        <v>27.822580337524414</v>
      </c>
      <c r="BD7" s="152">
        <v>17.439516067504883</v>
      </c>
      <c r="BE7" s="152">
        <v>20.463708877563477</v>
      </c>
      <c r="BF7" s="152">
        <v>8.9717741012573242</v>
      </c>
    </row>
    <row r="8" spans="1:58" x14ac:dyDescent="0.3">
      <c r="A8" s="153" t="s">
        <v>328</v>
      </c>
      <c r="B8" s="153" t="s">
        <v>291</v>
      </c>
      <c r="C8" s="154">
        <v>363</v>
      </c>
      <c r="D8" s="154">
        <v>42</v>
      </c>
      <c r="E8" s="154">
        <v>695</v>
      </c>
      <c r="F8" s="154">
        <v>89.629631042480469</v>
      </c>
      <c r="G8" s="154">
        <v>10.370369911193848</v>
      </c>
      <c r="H8" s="154">
        <v>969</v>
      </c>
      <c r="I8" s="154">
        <v>24</v>
      </c>
      <c r="J8" s="154">
        <v>21</v>
      </c>
      <c r="K8" s="154">
        <v>12</v>
      </c>
      <c r="L8" s="154">
        <v>25</v>
      </c>
      <c r="M8" s="154">
        <v>49</v>
      </c>
      <c r="N8" s="154">
        <v>92.197906494140625</v>
      </c>
      <c r="O8" s="154">
        <v>2.2835395336151123</v>
      </c>
      <c r="P8" s="154">
        <v>1.9980970621109009</v>
      </c>
      <c r="Q8" s="154">
        <v>1.1417697668075562</v>
      </c>
      <c r="R8" s="154">
        <v>2.3786869049072266</v>
      </c>
      <c r="S8" s="154">
        <v>217</v>
      </c>
      <c r="T8" s="154">
        <v>244</v>
      </c>
      <c r="U8" s="154">
        <v>256</v>
      </c>
      <c r="V8" s="154">
        <v>229</v>
      </c>
      <c r="W8" s="154">
        <v>154</v>
      </c>
      <c r="X8" s="154">
        <v>19.727272033691406</v>
      </c>
      <c r="Y8" s="154">
        <v>22.181818008422852</v>
      </c>
      <c r="Z8" s="154">
        <v>23.272727966308594</v>
      </c>
      <c r="AA8" s="154">
        <v>20.818181991577148</v>
      </c>
      <c r="AB8" s="154">
        <v>14</v>
      </c>
      <c r="AC8" s="154">
        <v>76</v>
      </c>
      <c r="AD8" s="154">
        <v>11</v>
      </c>
      <c r="AE8" s="154">
        <v>665</v>
      </c>
      <c r="AF8" s="154">
        <v>348</v>
      </c>
      <c r="AG8" s="154">
        <v>6.9090909957885742</v>
      </c>
      <c r="AH8" s="154">
        <v>1</v>
      </c>
      <c r="AI8" s="154">
        <v>60.454544067382813</v>
      </c>
      <c r="AJ8" s="154">
        <v>31.636363983154297</v>
      </c>
      <c r="AK8" s="154">
        <v>162</v>
      </c>
      <c r="AL8" s="154">
        <v>68</v>
      </c>
      <c r="AM8" s="154">
        <v>120</v>
      </c>
      <c r="AN8" s="154">
        <v>102</v>
      </c>
      <c r="AO8" s="154">
        <v>421</v>
      </c>
      <c r="AP8" s="154">
        <v>227</v>
      </c>
      <c r="AQ8" s="154">
        <v>18.55670166015625</v>
      </c>
      <c r="AR8" s="154">
        <v>7.7892327308654785</v>
      </c>
      <c r="AS8" s="154">
        <v>13.745704650878906</v>
      </c>
      <c r="AT8" s="154">
        <v>11.68384838104248</v>
      </c>
      <c r="AU8" s="154">
        <v>48.224514007568359</v>
      </c>
      <c r="AV8" s="154">
        <v>129</v>
      </c>
      <c r="AW8" s="154">
        <v>336</v>
      </c>
      <c r="AX8" s="154">
        <v>196</v>
      </c>
      <c r="AY8" s="154">
        <v>168</v>
      </c>
      <c r="AZ8" s="154">
        <v>52</v>
      </c>
      <c r="BA8" s="154">
        <v>219</v>
      </c>
      <c r="BB8" s="154">
        <v>14.642451286315918</v>
      </c>
      <c r="BC8" s="154">
        <v>38.138477325439453</v>
      </c>
      <c r="BD8" s="154">
        <v>22.247446060180664</v>
      </c>
      <c r="BE8" s="154">
        <v>19.069238662719727</v>
      </c>
      <c r="BF8" s="154">
        <v>5.9023838043212891</v>
      </c>
    </row>
    <row r="9" spans="1:58" x14ac:dyDescent="0.3">
      <c r="A9" s="151" t="s">
        <v>290</v>
      </c>
      <c r="B9" s="151" t="s">
        <v>289</v>
      </c>
      <c r="C9" s="152">
        <v>474</v>
      </c>
      <c r="D9" s="152">
        <v>28</v>
      </c>
      <c r="E9" s="152">
        <v>646</v>
      </c>
      <c r="F9" s="152">
        <v>94.422309875488281</v>
      </c>
      <c r="G9" s="152">
        <v>5.5776891708374023</v>
      </c>
      <c r="H9" s="152">
        <v>1051</v>
      </c>
      <c r="I9" s="152">
        <v>21</v>
      </c>
      <c r="J9" s="152">
        <v>29</v>
      </c>
      <c r="K9" s="152">
        <v>3</v>
      </c>
      <c r="L9" s="152">
        <v>14</v>
      </c>
      <c r="M9" s="152">
        <v>30</v>
      </c>
      <c r="N9" s="152">
        <v>94.007156372070313</v>
      </c>
      <c r="O9" s="152">
        <v>1.8783541917800903</v>
      </c>
      <c r="P9" s="152">
        <v>2.5939176082611084</v>
      </c>
      <c r="Q9" s="152">
        <v>0.26833632588386536</v>
      </c>
      <c r="R9" s="152">
        <v>1.2522361278533936</v>
      </c>
      <c r="S9" s="152">
        <v>409</v>
      </c>
      <c r="T9" s="152">
        <v>248</v>
      </c>
      <c r="U9" s="152">
        <v>169</v>
      </c>
      <c r="V9" s="152">
        <v>202</v>
      </c>
      <c r="W9" s="152">
        <v>120</v>
      </c>
      <c r="X9" s="152">
        <v>35.627178192138672</v>
      </c>
      <c r="Y9" s="152">
        <v>21.602787017822266</v>
      </c>
      <c r="Z9" s="152">
        <v>14.721254348754883</v>
      </c>
      <c r="AA9" s="152">
        <v>17.595819473266602</v>
      </c>
      <c r="AB9" s="152">
        <v>10.452961921691895</v>
      </c>
      <c r="AC9" s="152">
        <v>96</v>
      </c>
      <c r="AD9" s="152">
        <v>13</v>
      </c>
      <c r="AE9" s="152">
        <v>603</v>
      </c>
      <c r="AF9" s="152">
        <v>436</v>
      </c>
      <c r="AG9" s="152">
        <v>8.3623695373535156</v>
      </c>
      <c r="AH9" s="152">
        <v>1.1324042081832886</v>
      </c>
      <c r="AI9" s="152">
        <v>52.526130676269531</v>
      </c>
      <c r="AJ9" s="152">
        <v>37.979095458984375</v>
      </c>
      <c r="AK9" s="152">
        <v>214</v>
      </c>
      <c r="AL9" s="152">
        <v>73</v>
      </c>
      <c r="AM9" s="152">
        <v>126</v>
      </c>
      <c r="AN9" s="152">
        <v>111</v>
      </c>
      <c r="AO9" s="152">
        <v>456</v>
      </c>
      <c r="AP9" s="152">
        <v>168</v>
      </c>
      <c r="AQ9" s="152">
        <v>21.836734771728516</v>
      </c>
      <c r="AR9" s="152">
        <v>7.448979377746582</v>
      </c>
      <c r="AS9" s="152">
        <v>12.857142448425293</v>
      </c>
      <c r="AT9" s="152">
        <v>11.326530456542969</v>
      </c>
      <c r="AU9" s="152">
        <v>46.530612945556641</v>
      </c>
      <c r="AV9" s="152">
        <v>204</v>
      </c>
      <c r="AW9" s="152">
        <v>310</v>
      </c>
      <c r="AX9" s="152">
        <v>159</v>
      </c>
      <c r="AY9" s="152">
        <v>167</v>
      </c>
      <c r="AZ9" s="152">
        <v>87</v>
      </c>
      <c r="BA9" s="152">
        <v>221</v>
      </c>
      <c r="BB9" s="152">
        <v>22.006471633911133</v>
      </c>
      <c r="BC9" s="152">
        <v>33.441207885742188</v>
      </c>
      <c r="BD9" s="152">
        <v>17.152103424072266</v>
      </c>
      <c r="BE9" s="152">
        <v>18.015102386474609</v>
      </c>
      <c r="BF9" s="152">
        <v>9.3851137161254883</v>
      </c>
    </row>
    <row r="10" spans="1:58" x14ac:dyDescent="0.3">
      <c r="A10" s="153" t="s">
        <v>421</v>
      </c>
      <c r="B10" s="153" t="s">
        <v>297</v>
      </c>
      <c r="C10" s="154">
        <v>262</v>
      </c>
      <c r="D10" s="154">
        <v>40</v>
      </c>
      <c r="E10" s="154">
        <v>364</v>
      </c>
      <c r="F10" s="154">
        <v>86.754966735839844</v>
      </c>
      <c r="G10" s="154">
        <v>13.245033264160156</v>
      </c>
      <c r="H10" s="154">
        <v>471</v>
      </c>
      <c r="I10" s="154">
        <v>24</v>
      </c>
      <c r="J10" s="154">
        <v>50</v>
      </c>
      <c r="K10" s="154">
        <v>40</v>
      </c>
      <c r="L10" s="154">
        <v>60</v>
      </c>
      <c r="M10" s="154">
        <v>21</v>
      </c>
      <c r="N10" s="154">
        <v>73.02325439453125</v>
      </c>
      <c r="O10" s="154">
        <v>3.7209303379058838</v>
      </c>
      <c r="P10" s="154">
        <v>7.7519378662109375</v>
      </c>
      <c r="Q10" s="154">
        <v>6.2015504837036133</v>
      </c>
      <c r="R10" s="154">
        <v>9.3023252487182617</v>
      </c>
      <c r="S10" s="154">
        <v>119</v>
      </c>
      <c r="T10" s="154">
        <v>192</v>
      </c>
      <c r="U10" s="154">
        <v>165</v>
      </c>
      <c r="V10" s="154">
        <v>122</v>
      </c>
      <c r="W10" s="154">
        <v>68</v>
      </c>
      <c r="X10" s="154">
        <v>17.867868423461914</v>
      </c>
      <c r="Y10" s="154">
        <v>28.828828811645508</v>
      </c>
      <c r="Z10" s="154">
        <v>24.774774551391602</v>
      </c>
      <c r="AA10" s="154">
        <v>18.318317413330078</v>
      </c>
      <c r="AB10" s="154">
        <v>10.210209846496582</v>
      </c>
      <c r="AC10" s="154">
        <v>43</v>
      </c>
      <c r="AD10" s="154">
        <v>7</v>
      </c>
      <c r="AE10" s="154">
        <v>475</v>
      </c>
      <c r="AF10" s="154">
        <v>141</v>
      </c>
      <c r="AG10" s="154">
        <v>6.4564566612243652</v>
      </c>
      <c r="AH10" s="154">
        <v>1.0510510206222534</v>
      </c>
      <c r="AI10" s="154">
        <v>71.321319580078125</v>
      </c>
      <c r="AJ10" s="154">
        <v>21.171171188354492</v>
      </c>
      <c r="AK10" s="154">
        <v>123</v>
      </c>
      <c r="AL10" s="154">
        <v>40</v>
      </c>
      <c r="AM10" s="154">
        <v>72</v>
      </c>
      <c r="AN10" s="154">
        <v>55</v>
      </c>
      <c r="AO10" s="154">
        <v>252</v>
      </c>
      <c r="AP10" s="154">
        <v>124</v>
      </c>
      <c r="AQ10" s="154">
        <v>22.693727493286133</v>
      </c>
      <c r="AR10" s="154">
        <v>7.3800740242004395</v>
      </c>
      <c r="AS10" s="154">
        <v>13.284132957458496</v>
      </c>
      <c r="AT10" s="154">
        <v>10.147601127624512</v>
      </c>
      <c r="AU10" s="154">
        <v>46.494464874267578</v>
      </c>
      <c r="AV10" s="154">
        <v>116</v>
      </c>
      <c r="AW10" s="154">
        <v>148</v>
      </c>
      <c r="AX10" s="154">
        <v>64</v>
      </c>
      <c r="AY10" s="154">
        <v>62</v>
      </c>
      <c r="AZ10" s="154">
        <v>29</v>
      </c>
      <c r="BA10" s="154">
        <v>247</v>
      </c>
      <c r="BB10" s="154">
        <v>27.684965133666992</v>
      </c>
      <c r="BC10" s="154">
        <v>35.322196960449219</v>
      </c>
      <c r="BD10" s="154">
        <v>15.274462699890137</v>
      </c>
      <c r="BE10" s="154">
        <v>14.797136306762695</v>
      </c>
      <c r="BF10" s="154">
        <v>6.921241283416748</v>
      </c>
    </row>
    <row r="11" spans="1:58" x14ac:dyDescent="0.3">
      <c r="A11" s="151" t="s">
        <v>274</v>
      </c>
      <c r="B11" s="151" t="s">
        <v>273</v>
      </c>
      <c r="C11" s="152">
        <v>326</v>
      </c>
      <c r="D11" s="152">
        <v>30</v>
      </c>
      <c r="E11" s="152">
        <v>451</v>
      </c>
      <c r="F11" s="152">
        <v>91.573036193847656</v>
      </c>
      <c r="G11" s="152">
        <v>8.426966667175293</v>
      </c>
      <c r="H11" s="152">
        <v>610</v>
      </c>
      <c r="I11" s="152">
        <v>8</v>
      </c>
      <c r="J11" s="152">
        <v>79</v>
      </c>
      <c r="K11" s="152">
        <v>54</v>
      </c>
      <c r="L11" s="152">
        <v>47</v>
      </c>
      <c r="M11" s="152">
        <v>9</v>
      </c>
      <c r="N11" s="152">
        <v>76.44110107421875</v>
      </c>
      <c r="O11" s="152">
        <v>1.0025062561035156</v>
      </c>
      <c r="P11" s="152">
        <v>9.899749755859375</v>
      </c>
      <c r="Q11" s="152">
        <v>6.7669172286987305</v>
      </c>
      <c r="R11" s="152">
        <v>5.8897242546081543</v>
      </c>
      <c r="S11" s="152">
        <v>219</v>
      </c>
      <c r="T11" s="152">
        <v>298</v>
      </c>
      <c r="U11" s="152">
        <v>150</v>
      </c>
      <c r="V11" s="152">
        <v>87</v>
      </c>
      <c r="W11" s="152">
        <v>53</v>
      </c>
      <c r="X11" s="152">
        <v>27.137546539306641</v>
      </c>
      <c r="Y11" s="152">
        <v>36.926891326904297</v>
      </c>
      <c r="Z11" s="152">
        <v>18.587360382080078</v>
      </c>
      <c r="AA11" s="152">
        <v>10.780669212341309</v>
      </c>
      <c r="AB11" s="152">
        <v>6.5675339698791504</v>
      </c>
      <c r="AC11" s="152">
        <v>48</v>
      </c>
      <c r="AD11" s="152">
        <v>21</v>
      </c>
      <c r="AE11" s="152">
        <v>523</v>
      </c>
      <c r="AF11" s="152">
        <v>215</v>
      </c>
      <c r="AG11" s="152">
        <v>5.9479556083679199</v>
      </c>
      <c r="AH11" s="152">
        <v>2.6022305488586426</v>
      </c>
      <c r="AI11" s="152">
        <v>64.807929992675781</v>
      </c>
      <c r="AJ11" s="152">
        <v>26.641883850097656</v>
      </c>
      <c r="AK11" s="152">
        <v>203</v>
      </c>
      <c r="AL11" s="152">
        <v>53</v>
      </c>
      <c r="AM11" s="152">
        <v>78</v>
      </c>
      <c r="AN11" s="152">
        <v>72</v>
      </c>
      <c r="AO11" s="152">
        <v>323</v>
      </c>
      <c r="AP11" s="152">
        <v>78</v>
      </c>
      <c r="AQ11" s="152">
        <v>27.846364974975586</v>
      </c>
      <c r="AR11" s="152">
        <v>7.270233154296875</v>
      </c>
      <c r="AS11" s="152">
        <v>10.699588775634766</v>
      </c>
      <c r="AT11" s="152">
        <v>9.8765430450439453</v>
      </c>
      <c r="AU11" s="152">
        <v>44.307270050048828</v>
      </c>
      <c r="AV11" s="152">
        <v>138</v>
      </c>
      <c r="AW11" s="152">
        <v>147</v>
      </c>
      <c r="AX11" s="152">
        <v>72</v>
      </c>
      <c r="AY11" s="152">
        <v>63</v>
      </c>
      <c r="AZ11" s="152">
        <v>21</v>
      </c>
      <c r="BA11" s="152">
        <v>366</v>
      </c>
      <c r="BB11" s="152">
        <v>31.292516708374023</v>
      </c>
      <c r="BC11" s="152">
        <v>33.333332061767578</v>
      </c>
      <c r="BD11" s="152">
        <v>16.326530456542969</v>
      </c>
      <c r="BE11" s="152">
        <v>14.285714149475098</v>
      </c>
      <c r="BF11" s="152">
        <v>4.7619047164916992</v>
      </c>
    </row>
    <row r="12" spans="1:58" x14ac:dyDescent="0.3">
      <c r="A12" s="153" t="s">
        <v>323</v>
      </c>
      <c r="B12" s="153" t="s">
        <v>304</v>
      </c>
      <c r="C12" s="154">
        <v>1419</v>
      </c>
      <c r="D12" s="154">
        <v>91</v>
      </c>
      <c r="E12" s="154">
        <v>1175</v>
      </c>
      <c r="F12" s="154">
        <v>93.9735107421875</v>
      </c>
      <c r="G12" s="154">
        <v>6.0264902114868164</v>
      </c>
      <c r="H12" s="154">
        <v>2543</v>
      </c>
      <c r="I12" s="154">
        <v>29</v>
      </c>
      <c r="J12" s="154">
        <v>23</v>
      </c>
      <c r="K12" s="154">
        <v>18</v>
      </c>
      <c r="L12" s="154">
        <v>21</v>
      </c>
      <c r="M12" s="154">
        <v>51</v>
      </c>
      <c r="N12" s="154">
        <v>96.545181274414063</v>
      </c>
      <c r="O12" s="154">
        <v>1.1009870767593384</v>
      </c>
      <c r="P12" s="154">
        <v>0.87319666147232056</v>
      </c>
      <c r="Q12" s="154">
        <v>0.68337130546569824</v>
      </c>
      <c r="R12" s="154">
        <v>0.79726654291152954</v>
      </c>
      <c r="S12" s="154">
        <v>1069</v>
      </c>
      <c r="T12" s="154">
        <v>641</v>
      </c>
      <c r="U12" s="154">
        <v>409</v>
      </c>
      <c r="V12" s="154">
        <v>324</v>
      </c>
      <c r="W12" s="154">
        <v>242</v>
      </c>
      <c r="X12" s="154">
        <v>39.81378173828125</v>
      </c>
      <c r="Y12" s="154">
        <v>23.873371124267578</v>
      </c>
      <c r="Z12" s="154">
        <v>15.23277473449707</v>
      </c>
      <c r="AA12" s="154">
        <v>12.067039489746094</v>
      </c>
      <c r="AB12" s="154">
        <v>9.013035774230957</v>
      </c>
      <c r="AC12" s="154">
        <v>227</v>
      </c>
      <c r="AD12" s="154">
        <v>47</v>
      </c>
      <c r="AE12" s="154">
        <v>1487</v>
      </c>
      <c r="AF12" s="154">
        <v>924</v>
      </c>
      <c r="AG12" s="154">
        <v>8.454376220703125</v>
      </c>
      <c r="AH12" s="154">
        <v>1.7504655122756958</v>
      </c>
      <c r="AI12" s="154">
        <v>55.381752014160156</v>
      </c>
      <c r="AJ12" s="154">
        <v>34.413406372070313</v>
      </c>
      <c r="AK12" s="154">
        <v>569</v>
      </c>
      <c r="AL12" s="154">
        <v>186</v>
      </c>
      <c r="AM12" s="154">
        <v>286</v>
      </c>
      <c r="AN12" s="154">
        <v>208</v>
      </c>
      <c r="AO12" s="154">
        <v>1139</v>
      </c>
      <c r="AP12" s="154">
        <v>297</v>
      </c>
      <c r="AQ12" s="154">
        <v>23.827470779418945</v>
      </c>
      <c r="AR12" s="154">
        <v>7.7889447212219238</v>
      </c>
      <c r="AS12" s="154">
        <v>11.97654914855957</v>
      </c>
      <c r="AT12" s="154">
        <v>8.7102174758911133</v>
      </c>
      <c r="AU12" s="154">
        <v>47.696819305419922</v>
      </c>
      <c r="AV12" s="154">
        <v>364</v>
      </c>
      <c r="AW12" s="154">
        <v>757</v>
      </c>
      <c r="AX12" s="154">
        <v>547</v>
      </c>
      <c r="AY12" s="154">
        <v>542</v>
      </c>
      <c r="AZ12" s="154">
        <v>130</v>
      </c>
      <c r="BA12" s="154">
        <v>345</v>
      </c>
      <c r="BB12" s="154">
        <v>15.55555534362793</v>
      </c>
      <c r="BC12" s="154">
        <v>32.350425720214844</v>
      </c>
      <c r="BD12" s="154">
        <v>23.376068115234375</v>
      </c>
      <c r="BE12" s="154">
        <v>23.162393569946289</v>
      </c>
      <c r="BF12" s="154">
        <v>5.5555553436279297</v>
      </c>
    </row>
    <row r="13" spans="1:58" x14ac:dyDescent="0.3">
      <c r="A13" s="151" t="s">
        <v>440</v>
      </c>
      <c r="B13" s="151" t="s">
        <v>601</v>
      </c>
      <c r="C13" s="152">
        <v>462</v>
      </c>
      <c r="D13" s="152">
        <v>49</v>
      </c>
      <c r="E13" s="152">
        <v>680</v>
      </c>
      <c r="F13" s="152">
        <v>90.410957336425781</v>
      </c>
      <c r="G13" s="152">
        <v>9.5890407562255859</v>
      </c>
      <c r="H13" s="152">
        <v>1108</v>
      </c>
      <c r="I13" s="152">
        <v>12</v>
      </c>
      <c r="J13" s="152">
        <v>14</v>
      </c>
      <c r="K13" s="152">
        <v>7</v>
      </c>
      <c r="L13" s="152">
        <v>13</v>
      </c>
      <c r="M13" s="152">
        <v>37</v>
      </c>
      <c r="N13" s="152">
        <v>96.013862609863281</v>
      </c>
      <c r="O13" s="152">
        <v>1.0398613214492798</v>
      </c>
      <c r="P13" s="152">
        <v>1.2131716012954712</v>
      </c>
      <c r="Q13" s="152">
        <v>0.6065858006477356</v>
      </c>
      <c r="R13" s="152">
        <v>1.1265164613723755</v>
      </c>
      <c r="S13" s="152">
        <v>197</v>
      </c>
      <c r="T13" s="152">
        <v>401</v>
      </c>
      <c r="U13" s="152">
        <v>291</v>
      </c>
      <c r="V13" s="152">
        <v>207</v>
      </c>
      <c r="W13" s="152">
        <v>95</v>
      </c>
      <c r="X13" s="152">
        <v>16.540721893310547</v>
      </c>
      <c r="Y13" s="152">
        <v>33.669185638427734</v>
      </c>
      <c r="Z13" s="152">
        <v>24.433248519897461</v>
      </c>
      <c r="AA13" s="152">
        <v>17.380352020263672</v>
      </c>
      <c r="AB13" s="152">
        <v>7.9764904975891113</v>
      </c>
      <c r="AC13" s="152">
        <v>72</v>
      </c>
      <c r="AD13" s="152">
        <v>14</v>
      </c>
      <c r="AE13" s="152">
        <v>582</v>
      </c>
      <c r="AF13" s="152">
        <v>523</v>
      </c>
      <c r="AG13" s="152">
        <v>6.0453400611877441</v>
      </c>
      <c r="AH13" s="152">
        <v>1.1754827499389648</v>
      </c>
      <c r="AI13" s="152">
        <v>48.866497039794922</v>
      </c>
      <c r="AJ13" s="152">
        <v>43.912677764892578</v>
      </c>
      <c r="AK13" s="152">
        <v>226</v>
      </c>
      <c r="AL13" s="152">
        <v>80</v>
      </c>
      <c r="AM13" s="152">
        <v>96</v>
      </c>
      <c r="AN13" s="152">
        <v>77</v>
      </c>
      <c r="AO13" s="152">
        <v>431</v>
      </c>
      <c r="AP13" s="152">
        <v>281</v>
      </c>
      <c r="AQ13" s="152">
        <v>24.835165023803711</v>
      </c>
      <c r="AR13" s="152">
        <v>8.7912092208862305</v>
      </c>
      <c r="AS13" s="152">
        <v>10.549450874328613</v>
      </c>
      <c r="AT13" s="152">
        <v>8.4615383148193359</v>
      </c>
      <c r="AU13" s="152">
        <v>47.362636566162109</v>
      </c>
      <c r="AV13" s="152">
        <v>184</v>
      </c>
      <c r="AW13" s="152">
        <v>288</v>
      </c>
      <c r="AX13" s="152">
        <v>163</v>
      </c>
      <c r="AY13" s="152">
        <v>203</v>
      </c>
      <c r="AZ13" s="152">
        <v>60</v>
      </c>
      <c r="BA13" s="152">
        <v>293</v>
      </c>
      <c r="BB13" s="152">
        <v>20.48997688293457</v>
      </c>
      <c r="BC13" s="152">
        <v>32.071269989013672</v>
      </c>
      <c r="BD13" s="152">
        <v>18.151447296142578</v>
      </c>
      <c r="BE13" s="152">
        <v>22.605791091918945</v>
      </c>
      <c r="BF13" s="152">
        <v>6.6815142631530762</v>
      </c>
    </row>
    <row r="14" spans="1:58" x14ac:dyDescent="0.3">
      <c r="A14" s="153" t="s">
        <v>360</v>
      </c>
      <c r="B14" s="153" t="s">
        <v>316</v>
      </c>
      <c r="C14" s="154">
        <v>555</v>
      </c>
      <c r="D14" s="154">
        <v>62</v>
      </c>
      <c r="E14" s="154">
        <v>931</v>
      </c>
      <c r="F14" s="154">
        <v>89.951377868652344</v>
      </c>
      <c r="G14" s="154">
        <v>10.048622131347656</v>
      </c>
      <c r="H14" s="154">
        <v>1345</v>
      </c>
      <c r="I14" s="154">
        <v>41</v>
      </c>
      <c r="J14" s="154">
        <v>38</v>
      </c>
      <c r="K14" s="154">
        <v>23</v>
      </c>
      <c r="L14" s="154">
        <v>24</v>
      </c>
      <c r="M14" s="154">
        <v>77</v>
      </c>
      <c r="N14" s="154">
        <v>91.434394836425781</v>
      </c>
      <c r="O14" s="154">
        <v>2.7872195243835449</v>
      </c>
      <c r="P14" s="154">
        <v>2.5832767486572266</v>
      </c>
      <c r="Q14" s="154">
        <v>1.5635621547698975</v>
      </c>
      <c r="R14" s="154">
        <v>1.6315431594848633</v>
      </c>
      <c r="S14" s="154">
        <v>191</v>
      </c>
      <c r="T14" s="154">
        <v>285</v>
      </c>
      <c r="U14" s="154">
        <v>420</v>
      </c>
      <c r="V14" s="154">
        <v>349</v>
      </c>
      <c r="W14" s="154">
        <v>303</v>
      </c>
      <c r="X14" s="154">
        <v>12.3385009765625</v>
      </c>
      <c r="Y14" s="154">
        <v>18.410852432250977</v>
      </c>
      <c r="Z14" s="154">
        <v>27.131782531738281</v>
      </c>
      <c r="AA14" s="154">
        <v>22.545219421386719</v>
      </c>
      <c r="AB14" s="154">
        <v>19.573642730712891</v>
      </c>
      <c r="AC14" s="154">
        <v>107</v>
      </c>
      <c r="AD14" s="154">
        <v>22</v>
      </c>
      <c r="AE14" s="154">
        <v>843</v>
      </c>
      <c r="AF14" s="154">
        <v>576</v>
      </c>
      <c r="AG14" s="154">
        <v>6.912144660949707</v>
      </c>
      <c r="AH14" s="154">
        <v>1.4211885929107666</v>
      </c>
      <c r="AI14" s="154">
        <v>54.457363128662109</v>
      </c>
      <c r="AJ14" s="154">
        <v>37.209300994873047</v>
      </c>
      <c r="AK14" s="154">
        <v>273</v>
      </c>
      <c r="AL14" s="154">
        <v>95</v>
      </c>
      <c r="AM14" s="154">
        <v>166</v>
      </c>
      <c r="AN14" s="154">
        <v>130</v>
      </c>
      <c r="AO14" s="154">
        <v>697</v>
      </c>
      <c r="AP14" s="154">
        <v>187</v>
      </c>
      <c r="AQ14" s="154">
        <v>20.058780670166016</v>
      </c>
      <c r="AR14" s="154">
        <v>6.9801616668701172</v>
      </c>
      <c r="AS14" s="154">
        <v>12.196913719177246</v>
      </c>
      <c r="AT14" s="154">
        <v>9.5517997741699219</v>
      </c>
      <c r="AU14" s="154">
        <v>51.212345123291016</v>
      </c>
      <c r="AV14" s="154">
        <v>350</v>
      </c>
      <c r="AW14" s="154">
        <v>418</v>
      </c>
      <c r="AX14" s="154">
        <v>286</v>
      </c>
      <c r="AY14" s="154">
        <v>307</v>
      </c>
      <c r="AZ14" s="154">
        <v>49</v>
      </c>
      <c r="BA14" s="154">
        <v>138</v>
      </c>
      <c r="BB14" s="154">
        <v>24.822694778442383</v>
      </c>
      <c r="BC14" s="154">
        <v>29.645389556884766</v>
      </c>
      <c r="BD14" s="154">
        <v>20.283687591552734</v>
      </c>
      <c r="BE14" s="154">
        <v>21.773050308227539</v>
      </c>
      <c r="BF14" s="154">
        <v>3.4751772880554199</v>
      </c>
    </row>
    <row r="15" spans="1:58" x14ac:dyDescent="0.3">
      <c r="A15" s="151" t="s">
        <v>365</v>
      </c>
      <c r="B15" s="151" t="s">
        <v>320</v>
      </c>
      <c r="C15" s="152">
        <v>432</v>
      </c>
      <c r="D15" s="152">
        <v>61</v>
      </c>
      <c r="E15" s="152">
        <v>452</v>
      </c>
      <c r="F15" s="152">
        <v>87.626777648925781</v>
      </c>
      <c r="G15" s="152">
        <v>12.373225212097168</v>
      </c>
      <c r="H15" s="152">
        <v>727</v>
      </c>
      <c r="I15" s="152">
        <v>41</v>
      </c>
      <c r="J15" s="152">
        <v>37</v>
      </c>
      <c r="K15" s="152">
        <v>62</v>
      </c>
      <c r="L15" s="152">
        <v>42</v>
      </c>
      <c r="M15" s="152">
        <v>36</v>
      </c>
      <c r="N15" s="152">
        <v>79.977996826171875</v>
      </c>
      <c r="O15" s="152">
        <v>4.5104508399963379</v>
      </c>
      <c r="P15" s="152">
        <v>4.0704069137573242</v>
      </c>
      <c r="Q15" s="152">
        <v>6.8206820487976074</v>
      </c>
      <c r="R15" s="152">
        <v>4.6204619407653809</v>
      </c>
      <c r="S15" s="152">
        <v>173</v>
      </c>
      <c r="T15" s="152">
        <v>287</v>
      </c>
      <c r="U15" s="152">
        <v>168</v>
      </c>
      <c r="V15" s="152">
        <v>156</v>
      </c>
      <c r="W15" s="152">
        <v>161</v>
      </c>
      <c r="X15" s="152">
        <v>18.306879043579102</v>
      </c>
      <c r="Y15" s="152">
        <v>30.370370864868164</v>
      </c>
      <c r="Z15" s="152">
        <v>17.777778625488281</v>
      </c>
      <c r="AA15" s="152">
        <v>16.507936477661133</v>
      </c>
      <c r="AB15" s="152">
        <v>17.037036895751953</v>
      </c>
      <c r="AC15" s="152">
        <v>40</v>
      </c>
      <c r="AD15" s="152">
        <v>6</v>
      </c>
      <c r="AE15" s="152">
        <v>452</v>
      </c>
      <c r="AF15" s="152">
        <v>447</v>
      </c>
      <c r="AG15" s="152">
        <v>4.2328042984008789</v>
      </c>
      <c r="AH15" s="152">
        <v>0.63492065668106079</v>
      </c>
      <c r="AI15" s="152">
        <v>47.8306884765625</v>
      </c>
      <c r="AJ15" s="152">
        <v>47.301586151123047</v>
      </c>
      <c r="AK15" s="152">
        <v>196</v>
      </c>
      <c r="AL15" s="152">
        <v>43</v>
      </c>
      <c r="AM15" s="152">
        <v>75</v>
      </c>
      <c r="AN15" s="152">
        <v>39</v>
      </c>
      <c r="AO15" s="152">
        <v>329</v>
      </c>
      <c r="AP15" s="152">
        <v>263</v>
      </c>
      <c r="AQ15" s="152">
        <v>28.739002227783203</v>
      </c>
      <c r="AR15" s="152">
        <v>6.304985523223877</v>
      </c>
      <c r="AS15" s="152">
        <v>10.997067451477051</v>
      </c>
      <c r="AT15" s="152">
        <v>5.7184748649597168</v>
      </c>
      <c r="AU15" s="152">
        <v>48.240470886230469</v>
      </c>
      <c r="AV15" s="152">
        <v>170</v>
      </c>
      <c r="AW15" s="152">
        <v>234</v>
      </c>
      <c r="AX15" s="152">
        <v>92</v>
      </c>
      <c r="AY15" s="152">
        <v>94</v>
      </c>
      <c r="AZ15" s="152">
        <v>47</v>
      </c>
      <c r="BA15" s="152">
        <v>308</v>
      </c>
      <c r="BB15" s="152">
        <v>26.687597274780273</v>
      </c>
      <c r="BC15" s="152">
        <v>36.734695434570313</v>
      </c>
      <c r="BD15" s="152">
        <v>14.442700386047363</v>
      </c>
      <c r="BE15" s="152">
        <v>14.756671905517578</v>
      </c>
      <c r="BF15" s="152">
        <v>7.3783359527587891</v>
      </c>
    </row>
    <row r="16" spans="1:58" x14ac:dyDescent="0.3">
      <c r="A16" s="153" t="s">
        <v>278</v>
      </c>
      <c r="B16" s="153" t="s">
        <v>277</v>
      </c>
      <c r="C16" s="154">
        <v>591</v>
      </c>
      <c r="D16" s="154">
        <v>75</v>
      </c>
      <c r="E16" s="154">
        <v>745</v>
      </c>
      <c r="F16" s="154">
        <v>88.738739013671875</v>
      </c>
      <c r="G16" s="154">
        <v>11.261260986328125</v>
      </c>
      <c r="H16" s="154">
        <v>1323</v>
      </c>
      <c r="I16" s="154">
        <v>19</v>
      </c>
      <c r="J16" s="154">
        <v>13</v>
      </c>
      <c r="K16" s="154">
        <v>17</v>
      </c>
      <c r="L16" s="154">
        <v>13</v>
      </c>
      <c r="M16" s="154">
        <v>26</v>
      </c>
      <c r="N16" s="154">
        <v>95.523468017578125</v>
      </c>
      <c r="O16" s="154">
        <v>1.3718411922454834</v>
      </c>
      <c r="P16" s="154">
        <v>0.93862813711166382</v>
      </c>
      <c r="Q16" s="154">
        <v>1.2274367809295654</v>
      </c>
      <c r="R16" s="154">
        <v>0.93862813711166382</v>
      </c>
      <c r="S16" s="154">
        <v>488</v>
      </c>
      <c r="T16" s="154">
        <v>352</v>
      </c>
      <c r="U16" s="154">
        <v>250</v>
      </c>
      <c r="V16" s="154">
        <v>216</v>
      </c>
      <c r="W16" s="154">
        <v>105</v>
      </c>
      <c r="X16" s="154">
        <v>34.585399627685547</v>
      </c>
      <c r="Y16" s="154">
        <v>24.946846008300781</v>
      </c>
      <c r="Z16" s="154">
        <v>17.717929840087891</v>
      </c>
      <c r="AA16" s="154">
        <v>15.308292388916016</v>
      </c>
      <c r="AB16" s="154">
        <v>7.441530704498291</v>
      </c>
      <c r="AC16" s="154">
        <v>128</v>
      </c>
      <c r="AD16" s="154">
        <v>7</v>
      </c>
      <c r="AE16" s="154">
        <v>700</v>
      </c>
      <c r="AF16" s="154">
        <v>576</v>
      </c>
      <c r="AG16" s="154">
        <v>9.0715808868408203</v>
      </c>
      <c r="AH16" s="154">
        <v>0.49610206484794617</v>
      </c>
      <c r="AI16" s="154">
        <v>49.610206604003906</v>
      </c>
      <c r="AJ16" s="154">
        <v>40.822113037109375</v>
      </c>
      <c r="AK16" s="154">
        <v>308</v>
      </c>
      <c r="AL16" s="154">
        <v>115</v>
      </c>
      <c r="AM16" s="154">
        <v>156</v>
      </c>
      <c r="AN16" s="154">
        <v>116</v>
      </c>
      <c r="AO16" s="154">
        <v>621</v>
      </c>
      <c r="AP16" s="154">
        <v>95</v>
      </c>
      <c r="AQ16" s="154">
        <v>23.404254913330078</v>
      </c>
      <c r="AR16" s="154">
        <v>8.7386016845703125</v>
      </c>
      <c r="AS16" s="154">
        <v>11.854103088378906</v>
      </c>
      <c r="AT16" s="154">
        <v>8.8145895004272461</v>
      </c>
      <c r="AU16" s="154">
        <v>47.188449859619141</v>
      </c>
      <c r="AV16" s="154">
        <v>266</v>
      </c>
      <c r="AW16" s="154">
        <v>398</v>
      </c>
      <c r="AX16" s="154">
        <v>209</v>
      </c>
      <c r="AY16" s="154">
        <v>300</v>
      </c>
      <c r="AZ16" s="154">
        <v>50</v>
      </c>
      <c r="BA16" s="154">
        <v>188</v>
      </c>
      <c r="BB16" s="154">
        <v>21.749795913696289</v>
      </c>
      <c r="BC16" s="154">
        <v>32.542926788330078</v>
      </c>
      <c r="BD16" s="154">
        <v>17.08912467956543</v>
      </c>
      <c r="BE16" s="154">
        <v>24.529844284057617</v>
      </c>
      <c r="BF16" s="154">
        <v>4.0883073806762695</v>
      </c>
    </row>
    <row r="17" spans="1:58" x14ac:dyDescent="0.3">
      <c r="A17" s="151" t="s">
        <v>269</v>
      </c>
      <c r="B17" s="151" t="s">
        <v>268</v>
      </c>
      <c r="C17" s="152">
        <v>771</v>
      </c>
      <c r="D17" s="152">
        <v>75</v>
      </c>
      <c r="E17" s="152">
        <v>716</v>
      </c>
      <c r="F17" s="152">
        <v>91.134750366210938</v>
      </c>
      <c r="G17" s="152">
        <v>8.8652486801147461</v>
      </c>
      <c r="H17" s="152">
        <v>1272</v>
      </c>
      <c r="I17" s="152">
        <v>64</v>
      </c>
      <c r="J17" s="152">
        <v>44</v>
      </c>
      <c r="K17" s="152">
        <v>19</v>
      </c>
      <c r="L17" s="152">
        <v>68</v>
      </c>
      <c r="M17" s="152">
        <v>95</v>
      </c>
      <c r="N17" s="152">
        <v>86.707565307617188</v>
      </c>
      <c r="O17" s="152">
        <v>4.3626446723937988</v>
      </c>
      <c r="P17" s="152">
        <v>2.9993183612823486</v>
      </c>
      <c r="Q17" s="152">
        <v>1.295160174369812</v>
      </c>
      <c r="R17" s="152">
        <v>4.635310173034668</v>
      </c>
      <c r="S17" s="152">
        <v>116</v>
      </c>
      <c r="T17" s="152">
        <v>257</v>
      </c>
      <c r="U17" s="152">
        <v>366</v>
      </c>
      <c r="V17" s="152">
        <v>409</v>
      </c>
      <c r="W17" s="152">
        <v>414</v>
      </c>
      <c r="X17" s="152">
        <v>7.4263763427734375</v>
      </c>
      <c r="Y17" s="152">
        <v>16.453264236450195</v>
      </c>
      <c r="Z17" s="152">
        <v>23.431497573852539</v>
      </c>
      <c r="AA17" s="152">
        <v>26.184379577636719</v>
      </c>
      <c r="AB17" s="152">
        <v>26.504482269287109</v>
      </c>
      <c r="AC17" s="152">
        <v>105</v>
      </c>
      <c r="AD17" s="152">
        <v>23</v>
      </c>
      <c r="AE17" s="152">
        <v>809</v>
      </c>
      <c r="AF17" s="152">
        <v>625</v>
      </c>
      <c r="AG17" s="152">
        <v>6.7221512794494629</v>
      </c>
      <c r="AH17" s="152">
        <v>1.4724712371826172</v>
      </c>
      <c r="AI17" s="152">
        <v>51.792572021484375</v>
      </c>
      <c r="AJ17" s="152">
        <v>40.012805938720703</v>
      </c>
      <c r="AK17" s="152">
        <v>255</v>
      </c>
      <c r="AL17" s="152">
        <v>115</v>
      </c>
      <c r="AM17" s="152">
        <v>207</v>
      </c>
      <c r="AN17" s="152">
        <v>131</v>
      </c>
      <c r="AO17" s="152">
        <v>657</v>
      </c>
      <c r="AP17" s="152">
        <v>197</v>
      </c>
      <c r="AQ17" s="152">
        <v>18.681318283081055</v>
      </c>
      <c r="AR17" s="152">
        <v>8.4249086380004883</v>
      </c>
      <c r="AS17" s="152">
        <v>15.164834976196289</v>
      </c>
      <c r="AT17" s="152">
        <v>9.5970697402954102</v>
      </c>
      <c r="AU17" s="152">
        <v>48.131866455078125</v>
      </c>
      <c r="AV17" s="152">
        <v>313</v>
      </c>
      <c r="AW17" s="152">
        <v>523</v>
      </c>
      <c r="AX17" s="152">
        <v>263</v>
      </c>
      <c r="AY17" s="152">
        <v>223</v>
      </c>
      <c r="AZ17" s="152">
        <v>56</v>
      </c>
      <c r="BA17" s="152">
        <v>184</v>
      </c>
      <c r="BB17" s="152">
        <v>22.714078903198242</v>
      </c>
      <c r="BC17" s="152">
        <v>37.953556060791016</v>
      </c>
      <c r="BD17" s="152">
        <v>19.085630416870117</v>
      </c>
      <c r="BE17" s="152">
        <v>16.18287467956543</v>
      </c>
      <c r="BF17" s="152">
        <v>4.0638608932495117</v>
      </c>
    </row>
    <row r="18" spans="1:58" x14ac:dyDescent="0.3">
      <c r="A18" s="153" t="s">
        <v>301</v>
      </c>
      <c r="B18" s="153" t="s">
        <v>300</v>
      </c>
      <c r="C18" s="154">
        <v>831</v>
      </c>
      <c r="D18" s="154">
        <v>97</v>
      </c>
      <c r="E18" s="154">
        <v>446</v>
      </c>
      <c r="F18" s="154">
        <v>89.547416687011719</v>
      </c>
      <c r="G18" s="154">
        <v>10.45258617401123</v>
      </c>
      <c r="H18" s="154">
        <v>1172</v>
      </c>
      <c r="I18" s="154">
        <v>30</v>
      </c>
      <c r="J18" s="154">
        <v>54</v>
      </c>
      <c r="K18" s="154">
        <v>17</v>
      </c>
      <c r="L18" s="154">
        <v>47</v>
      </c>
      <c r="M18" s="154">
        <v>54</v>
      </c>
      <c r="N18" s="154">
        <v>88.787879943847656</v>
      </c>
      <c r="O18" s="154">
        <v>2.2727272510528564</v>
      </c>
      <c r="P18" s="154">
        <v>4.0909090042114258</v>
      </c>
      <c r="Q18" s="154">
        <v>1.2878787517547607</v>
      </c>
      <c r="R18" s="154">
        <v>3.5606060028076172</v>
      </c>
      <c r="S18" s="154">
        <v>68</v>
      </c>
      <c r="T18" s="154">
        <v>166</v>
      </c>
      <c r="U18" s="154">
        <v>242</v>
      </c>
      <c r="V18" s="154">
        <v>332</v>
      </c>
      <c r="W18" s="154">
        <v>566</v>
      </c>
      <c r="X18" s="154">
        <v>4.9490537643432617</v>
      </c>
      <c r="Y18" s="154">
        <v>12.081513404846191</v>
      </c>
      <c r="Z18" s="154">
        <v>17.612810134887695</v>
      </c>
      <c r="AA18" s="154">
        <v>24.163026809692383</v>
      </c>
      <c r="AB18" s="154">
        <v>41.193595886230469</v>
      </c>
      <c r="AC18" s="154">
        <v>96</v>
      </c>
      <c r="AD18" s="154">
        <v>23</v>
      </c>
      <c r="AE18" s="154">
        <v>977</v>
      </c>
      <c r="AF18" s="154">
        <v>278</v>
      </c>
      <c r="AG18" s="154">
        <v>6.9868993759155273</v>
      </c>
      <c r="AH18" s="154">
        <v>1.6739447116851807</v>
      </c>
      <c r="AI18" s="154">
        <v>71.10626220703125</v>
      </c>
      <c r="AJ18" s="154">
        <v>20.23289680480957</v>
      </c>
      <c r="AK18" s="154">
        <v>262</v>
      </c>
      <c r="AL18" s="154">
        <v>92</v>
      </c>
      <c r="AM18" s="154">
        <v>180</v>
      </c>
      <c r="AN18" s="154">
        <v>111</v>
      </c>
      <c r="AO18" s="154">
        <v>587</v>
      </c>
      <c r="AP18" s="154">
        <v>142</v>
      </c>
      <c r="AQ18" s="154">
        <v>21.266233444213867</v>
      </c>
      <c r="AR18" s="154">
        <v>7.4675326347351074</v>
      </c>
      <c r="AS18" s="154">
        <v>14.610389709472656</v>
      </c>
      <c r="AT18" s="154">
        <v>9.009739875793457</v>
      </c>
      <c r="AU18" s="154">
        <v>47.646102905273438</v>
      </c>
      <c r="AV18" s="154">
        <v>248</v>
      </c>
      <c r="AW18" s="154">
        <v>396</v>
      </c>
      <c r="AX18" s="154">
        <v>253</v>
      </c>
      <c r="AY18" s="154">
        <v>278</v>
      </c>
      <c r="AZ18" s="154">
        <v>58</v>
      </c>
      <c r="BA18" s="154">
        <v>141</v>
      </c>
      <c r="BB18" s="154">
        <v>20.113544464111328</v>
      </c>
      <c r="BC18" s="154">
        <v>32.116786956787109</v>
      </c>
      <c r="BD18" s="154">
        <v>20.519060134887695</v>
      </c>
      <c r="BE18" s="154">
        <v>22.546634674072266</v>
      </c>
      <c r="BF18" s="154">
        <v>4.7039742469787598</v>
      </c>
    </row>
    <row r="19" spans="1:58" x14ac:dyDescent="0.3">
      <c r="A19" s="151" t="s">
        <v>334</v>
      </c>
      <c r="B19" s="151" t="s">
        <v>331</v>
      </c>
      <c r="C19" s="152">
        <v>909</v>
      </c>
      <c r="D19" s="152">
        <v>91</v>
      </c>
      <c r="E19" s="152">
        <v>400</v>
      </c>
      <c r="F19" s="152">
        <v>90.900001525878906</v>
      </c>
      <c r="G19" s="152">
        <v>9.1000003814697266</v>
      </c>
      <c r="H19" s="152">
        <v>1137</v>
      </c>
      <c r="I19" s="152">
        <v>61</v>
      </c>
      <c r="J19" s="152">
        <v>51</v>
      </c>
      <c r="K19" s="152">
        <v>25</v>
      </c>
      <c r="L19" s="152">
        <v>38</v>
      </c>
      <c r="M19" s="152">
        <v>88</v>
      </c>
      <c r="N19" s="152">
        <v>86.661582946777344</v>
      </c>
      <c r="O19" s="152">
        <v>4.6493902206420898</v>
      </c>
      <c r="P19" s="152">
        <v>3.8871951103210449</v>
      </c>
      <c r="Q19" s="152">
        <v>1.9054877758026123</v>
      </c>
      <c r="R19" s="152">
        <v>2.8963415622711182</v>
      </c>
      <c r="S19" s="152">
        <v>230</v>
      </c>
      <c r="T19" s="152">
        <v>303</v>
      </c>
      <c r="U19" s="152">
        <v>301</v>
      </c>
      <c r="V19" s="152">
        <v>291</v>
      </c>
      <c r="W19" s="152">
        <v>275</v>
      </c>
      <c r="X19" s="152">
        <v>16.428571701049805</v>
      </c>
      <c r="Y19" s="152">
        <v>21.642856597900391</v>
      </c>
      <c r="Z19" s="152">
        <v>21.5</v>
      </c>
      <c r="AA19" s="152">
        <v>20.785715103149414</v>
      </c>
      <c r="AB19" s="152">
        <v>19.642856597900391</v>
      </c>
      <c r="AC19" s="152">
        <v>89</v>
      </c>
      <c r="AD19" s="152">
        <v>21</v>
      </c>
      <c r="AE19" s="152">
        <v>685</v>
      </c>
      <c r="AF19" s="152">
        <v>605</v>
      </c>
      <c r="AG19" s="152">
        <v>6.3571429252624512</v>
      </c>
      <c r="AH19" s="152">
        <v>1.5</v>
      </c>
      <c r="AI19" s="152">
        <v>48.928569793701172</v>
      </c>
      <c r="AJ19" s="152">
        <v>43.214286804199219</v>
      </c>
      <c r="AK19" s="152">
        <v>367</v>
      </c>
      <c r="AL19" s="152">
        <v>107</v>
      </c>
      <c r="AM19" s="152">
        <v>161</v>
      </c>
      <c r="AN19" s="152">
        <v>111</v>
      </c>
      <c r="AO19" s="152">
        <v>544</v>
      </c>
      <c r="AP19" s="152">
        <v>110</v>
      </c>
      <c r="AQ19" s="152">
        <v>28.449611663818359</v>
      </c>
      <c r="AR19" s="152">
        <v>8.2945737838745117</v>
      </c>
      <c r="AS19" s="152">
        <v>12.480620384216309</v>
      </c>
      <c r="AT19" s="152">
        <v>8.6046514511108398</v>
      </c>
      <c r="AU19" s="152">
        <v>42.170543670654297</v>
      </c>
      <c r="AV19" s="152">
        <v>343</v>
      </c>
      <c r="AW19" s="152">
        <v>414</v>
      </c>
      <c r="AX19" s="152">
        <v>233</v>
      </c>
      <c r="AY19" s="152">
        <v>194</v>
      </c>
      <c r="AZ19" s="152">
        <v>57</v>
      </c>
      <c r="BA19" s="152">
        <v>159</v>
      </c>
      <c r="BB19" s="152">
        <v>27.638999938964844</v>
      </c>
      <c r="BC19" s="152">
        <v>33.360195159912109</v>
      </c>
      <c r="BD19" s="152">
        <v>18.775180816650391</v>
      </c>
      <c r="BE19" s="152">
        <v>15.632554054260254</v>
      </c>
      <c r="BF19" s="152">
        <v>4.5930700302124023</v>
      </c>
    </row>
    <row r="20" spans="1:58" x14ac:dyDescent="0.3">
      <c r="A20" s="153" t="s">
        <v>312</v>
      </c>
      <c r="B20" s="153" t="s">
        <v>311</v>
      </c>
      <c r="C20" s="154">
        <v>194</v>
      </c>
      <c r="D20" s="154">
        <v>27</v>
      </c>
      <c r="E20" s="154">
        <v>1228</v>
      </c>
      <c r="F20" s="154">
        <v>87.782806396484375</v>
      </c>
      <c r="G20" s="154">
        <v>12.217194557189941</v>
      </c>
      <c r="H20" s="154">
        <v>1023</v>
      </c>
      <c r="I20" s="154">
        <v>39</v>
      </c>
      <c r="J20" s="154">
        <v>128</v>
      </c>
      <c r="K20" s="154">
        <v>81</v>
      </c>
      <c r="L20" s="154">
        <v>138</v>
      </c>
      <c r="M20" s="154">
        <v>40</v>
      </c>
      <c r="N20" s="154">
        <v>72.604682922363281</v>
      </c>
      <c r="O20" s="154">
        <v>2.7679204940795898</v>
      </c>
      <c r="P20" s="154">
        <v>9.0844573974609375</v>
      </c>
      <c r="Q20" s="154">
        <v>5.7487578392028809</v>
      </c>
      <c r="R20" s="154">
        <v>9.7941799163818359</v>
      </c>
      <c r="S20" s="154">
        <v>170</v>
      </c>
      <c r="T20" s="154">
        <v>392</v>
      </c>
      <c r="U20" s="154">
        <v>331</v>
      </c>
      <c r="V20" s="154">
        <v>277</v>
      </c>
      <c r="W20" s="154">
        <v>279</v>
      </c>
      <c r="X20" s="154">
        <v>11.732229232788086</v>
      </c>
      <c r="Y20" s="154">
        <v>27.053140640258789</v>
      </c>
      <c r="Z20" s="154">
        <v>22.843339920043945</v>
      </c>
      <c r="AA20" s="154">
        <v>19.116632461547852</v>
      </c>
      <c r="AB20" s="154">
        <v>19.254657745361328</v>
      </c>
      <c r="AC20" s="154">
        <v>88</v>
      </c>
      <c r="AD20" s="154">
        <v>15</v>
      </c>
      <c r="AE20" s="154">
        <v>945</v>
      </c>
      <c r="AF20" s="154">
        <v>401</v>
      </c>
      <c r="AG20" s="154">
        <v>6.0731539726257324</v>
      </c>
      <c r="AH20" s="154">
        <v>1.0351966619491577</v>
      </c>
      <c r="AI20" s="154">
        <v>65.217391967773438</v>
      </c>
      <c r="AJ20" s="154">
        <v>27.674257278442383</v>
      </c>
      <c r="AK20" s="154">
        <v>278</v>
      </c>
      <c r="AL20" s="154">
        <v>107</v>
      </c>
      <c r="AM20" s="154">
        <v>155</v>
      </c>
      <c r="AN20" s="154">
        <v>98</v>
      </c>
      <c r="AO20" s="154">
        <v>598</v>
      </c>
      <c r="AP20" s="154">
        <v>213</v>
      </c>
      <c r="AQ20" s="154">
        <v>22.491909027099609</v>
      </c>
      <c r="AR20" s="154">
        <v>8.6569576263427734</v>
      </c>
      <c r="AS20" s="154">
        <v>12.54045295715332</v>
      </c>
      <c r="AT20" s="154">
        <v>7.928802490234375</v>
      </c>
      <c r="AU20" s="154">
        <v>48.381877899169922</v>
      </c>
      <c r="AV20" s="154">
        <v>278</v>
      </c>
      <c r="AW20" s="154">
        <v>368</v>
      </c>
      <c r="AX20" s="154">
        <v>171</v>
      </c>
      <c r="AY20" s="154">
        <v>206</v>
      </c>
      <c r="AZ20" s="154">
        <v>55</v>
      </c>
      <c r="BA20" s="154">
        <v>371</v>
      </c>
      <c r="BB20" s="154">
        <v>25.788497924804688</v>
      </c>
      <c r="BC20" s="154">
        <v>34.137290954589844</v>
      </c>
      <c r="BD20" s="154">
        <v>15.862709045410156</v>
      </c>
      <c r="BE20" s="154">
        <v>19.109462738037109</v>
      </c>
      <c r="BF20" s="154">
        <v>5.1020407676696777</v>
      </c>
    </row>
    <row r="21" spans="1:58" x14ac:dyDescent="0.3">
      <c r="A21" s="151" t="s">
        <v>357</v>
      </c>
      <c r="B21" s="151" t="s">
        <v>335</v>
      </c>
      <c r="C21" s="152">
        <v>1695</v>
      </c>
      <c r="D21" s="152">
        <v>163</v>
      </c>
      <c r="E21" s="152">
        <v>1776</v>
      </c>
      <c r="F21" s="152">
        <v>91.227127075195313</v>
      </c>
      <c r="G21" s="152">
        <v>8.7728738784790039</v>
      </c>
      <c r="H21" s="152">
        <v>3166</v>
      </c>
      <c r="I21" s="152">
        <v>111</v>
      </c>
      <c r="J21" s="152">
        <v>138</v>
      </c>
      <c r="K21" s="152">
        <v>79</v>
      </c>
      <c r="L21" s="152">
        <v>48</v>
      </c>
      <c r="M21" s="152">
        <v>92</v>
      </c>
      <c r="N21" s="152">
        <v>89.384529113769531</v>
      </c>
      <c r="O21" s="152">
        <v>3.1338226795196533</v>
      </c>
      <c r="P21" s="152">
        <v>3.8961038589477539</v>
      </c>
      <c r="Q21" s="152">
        <v>2.2303783893585205</v>
      </c>
      <c r="R21" s="152">
        <v>1.3551665544509888</v>
      </c>
      <c r="S21" s="152">
        <v>1190</v>
      </c>
      <c r="T21" s="152">
        <v>746</v>
      </c>
      <c r="U21" s="152">
        <v>679</v>
      </c>
      <c r="V21" s="152">
        <v>602</v>
      </c>
      <c r="W21" s="152">
        <v>417</v>
      </c>
      <c r="X21" s="152">
        <v>32.746284484863281</v>
      </c>
      <c r="Y21" s="152">
        <v>20.528343200683594</v>
      </c>
      <c r="Z21" s="152">
        <v>18.68464469909668</v>
      </c>
      <c r="AA21" s="152">
        <v>16.565767288208008</v>
      </c>
      <c r="AB21" s="152">
        <v>11.474958419799805</v>
      </c>
      <c r="AC21" s="152">
        <v>286</v>
      </c>
      <c r="AD21" s="152">
        <v>55</v>
      </c>
      <c r="AE21" s="152">
        <v>1893</v>
      </c>
      <c r="AF21" s="152">
        <v>1400</v>
      </c>
      <c r="AG21" s="152">
        <v>7.8701157569885254</v>
      </c>
      <c r="AH21" s="152">
        <v>1.5134837627410889</v>
      </c>
      <c r="AI21" s="152">
        <v>52.091358184814453</v>
      </c>
      <c r="AJ21" s="152">
        <v>38.525039672851563</v>
      </c>
      <c r="AK21" s="152">
        <v>667</v>
      </c>
      <c r="AL21" s="152">
        <v>250</v>
      </c>
      <c r="AM21" s="152">
        <v>376</v>
      </c>
      <c r="AN21" s="152">
        <v>307</v>
      </c>
      <c r="AO21" s="152">
        <v>1629</v>
      </c>
      <c r="AP21" s="152">
        <v>405</v>
      </c>
      <c r="AQ21" s="152">
        <v>20.656549453735352</v>
      </c>
      <c r="AR21" s="152">
        <v>7.742335319519043</v>
      </c>
      <c r="AS21" s="152">
        <v>11.644472122192383</v>
      </c>
      <c r="AT21" s="152">
        <v>9.5075874328613281</v>
      </c>
      <c r="AU21" s="152">
        <v>50.449054718017578</v>
      </c>
      <c r="AV21" s="152">
        <v>579</v>
      </c>
      <c r="AW21" s="152">
        <v>1026</v>
      </c>
      <c r="AX21" s="152">
        <v>677</v>
      </c>
      <c r="AY21" s="152">
        <v>626</v>
      </c>
      <c r="AZ21" s="152">
        <v>214</v>
      </c>
      <c r="BA21" s="152">
        <v>512</v>
      </c>
      <c r="BB21" s="152">
        <v>18.545803070068359</v>
      </c>
      <c r="BC21" s="152">
        <v>32.863548278808594</v>
      </c>
      <c r="BD21" s="152">
        <v>21.684818267822266</v>
      </c>
      <c r="BE21" s="152">
        <v>20.051248550415039</v>
      </c>
      <c r="BF21" s="152">
        <v>6.8545804023742676</v>
      </c>
    </row>
    <row r="22" spans="1:58" x14ac:dyDescent="0.3">
      <c r="A22" s="157" t="s">
        <v>264</v>
      </c>
      <c r="B22" s="157" t="s">
        <v>263</v>
      </c>
      <c r="C22" s="158">
        <v>716</v>
      </c>
      <c r="D22" s="158">
        <v>53</v>
      </c>
      <c r="E22" s="158">
        <v>1107</v>
      </c>
      <c r="F22" s="158">
        <v>93.107933044433594</v>
      </c>
      <c r="G22" s="158">
        <v>6.8920674324035645</v>
      </c>
      <c r="H22" s="158">
        <v>1755</v>
      </c>
      <c r="I22" s="158">
        <v>23</v>
      </c>
      <c r="J22" s="158">
        <v>49</v>
      </c>
      <c r="K22" s="158">
        <v>6</v>
      </c>
      <c r="L22" s="158">
        <v>23</v>
      </c>
      <c r="M22" s="158">
        <v>20</v>
      </c>
      <c r="N22" s="158">
        <v>94.558189392089844</v>
      </c>
      <c r="O22" s="158">
        <v>1.2392241954803467</v>
      </c>
      <c r="P22" s="158">
        <v>2.6400861740112305</v>
      </c>
      <c r="Q22" s="158">
        <v>0.3232758641242981</v>
      </c>
      <c r="R22" s="158">
        <v>1.2392241954803467</v>
      </c>
      <c r="S22" s="158">
        <v>684</v>
      </c>
      <c r="T22" s="158">
        <v>335</v>
      </c>
      <c r="U22" s="158">
        <v>362</v>
      </c>
      <c r="V22" s="158">
        <v>289</v>
      </c>
      <c r="W22" s="158">
        <v>206</v>
      </c>
      <c r="X22" s="158">
        <v>36.460556030273438</v>
      </c>
      <c r="Y22" s="158">
        <v>17.857143402099609</v>
      </c>
      <c r="Z22" s="158">
        <v>19.296375274658203</v>
      </c>
      <c r="AA22" s="158">
        <v>15.405117034912109</v>
      </c>
      <c r="AB22" s="158">
        <v>10.980810165405273</v>
      </c>
      <c r="AC22" s="158">
        <v>164</v>
      </c>
      <c r="AD22" s="158">
        <v>17</v>
      </c>
      <c r="AE22" s="158">
        <v>1557</v>
      </c>
      <c r="AF22" s="158">
        <v>138</v>
      </c>
      <c r="AG22" s="158">
        <v>8.74200439453125</v>
      </c>
      <c r="AH22" s="158">
        <v>0.90618336200714111</v>
      </c>
      <c r="AI22" s="158">
        <v>82.995735168457031</v>
      </c>
      <c r="AJ22" s="158">
        <v>7.356076717376709</v>
      </c>
      <c r="AK22" s="158">
        <v>432</v>
      </c>
      <c r="AL22" s="158">
        <v>149</v>
      </c>
      <c r="AM22" s="158">
        <v>229</v>
      </c>
      <c r="AN22" s="158">
        <v>145</v>
      </c>
      <c r="AO22" s="158">
        <v>820</v>
      </c>
      <c r="AP22" s="158">
        <v>101</v>
      </c>
      <c r="AQ22" s="158">
        <v>24.338027954101563</v>
      </c>
      <c r="AR22" s="158">
        <v>8.3943662643432617</v>
      </c>
      <c r="AS22" s="158">
        <v>12.901408195495605</v>
      </c>
      <c r="AT22" s="158">
        <v>8.1690139770507813</v>
      </c>
      <c r="AU22" s="158">
        <v>46.197181701660156</v>
      </c>
      <c r="AV22" s="158">
        <v>358</v>
      </c>
      <c r="AW22" s="158">
        <v>501</v>
      </c>
      <c r="AX22" s="158">
        <v>344</v>
      </c>
      <c r="AY22" s="158">
        <v>413</v>
      </c>
      <c r="AZ22" s="158">
        <v>119</v>
      </c>
      <c r="BA22" s="158">
        <v>141</v>
      </c>
      <c r="BB22" s="158">
        <v>20.634006500244141</v>
      </c>
      <c r="BC22" s="158">
        <v>28.876081466674805</v>
      </c>
      <c r="BD22" s="158">
        <v>19.827089309692383</v>
      </c>
      <c r="BE22" s="158">
        <v>23.804035186767578</v>
      </c>
      <c r="BF22" s="158">
        <v>6.8587894439697266</v>
      </c>
    </row>
  </sheetData>
  <phoneticPr fontId="5"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D9F10-6C7E-4B11-A0DF-B440127187C0}">
  <sheetPr>
    <pageSetUpPr autoPageBreaks="0"/>
  </sheetPr>
  <dimension ref="B9:C67"/>
  <sheetViews>
    <sheetView showGridLines="0" zoomScaleNormal="100" workbookViewId="0"/>
  </sheetViews>
  <sheetFormatPr defaultRowHeight="14.4" x14ac:dyDescent="0.3"/>
  <cols>
    <col min="3" max="3" width="108.88671875" style="5" customWidth="1"/>
  </cols>
  <sheetData>
    <row r="9" spans="2:3" x14ac:dyDescent="0.3">
      <c r="B9" s="184" t="s">
        <v>672</v>
      </c>
      <c r="C9" s="190"/>
    </row>
    <row r="10" spans="2:3" x14ac:dyDescent="0.3">
      <c r="C10" s="187"/>
    </row>
    <row r="11" spans="2:3" ht="28.8" x14ac:dyDescent="0.3">
      <c r="C11" s="94" t="s">
        <v>781</v>
      </c>
    </row>
    <row r="12" spans="2:3" x14ac:dyDescent="0.3">
      <c r="C12" s="94"/>
    </row>
    <row r="13" spans="2:3" ht="43.2" x14ac:dyDescent="0.3">
      <c r="C13" s="207" t="s">
        <v>782</v>
      </c>
    </row>
    <row r="14" spans="2:3" x14ac:dyDescent="0.3">
      <c r="C14" s="207"/>
    </row>
    <row r="15" spans="2:3" ht="57.6" x14ac:dyDescent="0.3">
      <c r="C15" s="229" t="s">
        <v>913</v>
      </c>
    </row>
    <row r="16" spans="2:3" x14ac:dyDescent="0.3">
      <c r="C16" s="203"/>
    </row>
    <row r="17" spans="2:3" x14ac:dyDescent="0.3">
      <c r="B17" s="184" t="s">
        <v>783</v>
      </c>
      <c r="C17" s="203"/>
    </row>
    <row r="18" spans="2:3" x14ac:dyDescent="0.3">
      <c r="B18" s="184"/>
      <c r="C18" s="203"/>
    </row>
    <row r="19" spans="2:3" ht="86.4" x14ac:dyDescent="0.3">
      <c r="B19" s="184"/>
      <c r="C19" s="203" t="s">
        <v>882</v>
      </c>
    </row>
    <row r="20" spans="2:3" x14ac:dyDescent="0.3">
      <c r="B20" s="184"/>
      <c r="C20" s="203"/>
    </row>
    <row r="21" spans="2:3" ht="57.6" x14ac:dyDescent="0.3">
      <c r="B21" s="184"/>
      <c r="C21" s="203" t="s">
        <v>883</v>
      </c>
    </row>
    <row r="22" spans="2:3" x14ac:dyDescent="0.3">
      <c r="B22" s="184"/>
      <c r="C22" s="203"/>
    </row>
    <row r="23" spans="2:3" ht="28.8" x14ac:dyDescent="0.3">
      <c r="B23" s="184"/>
      <c r="C23" s="229" t="s">
        <v>912</v>
      </c>
    </row>
    <row r="24" spans="2:3" x14ac:dyDescent="0.3">
      <c r="B24" s="184"/>
      <c r="C24" s="203"/>
    </row>
    <row r="25" spans="2:3" ht="100.8" x14ac:dyDescent="0.3">
      <c r="B25" s="184"/>
      <c r="C25" s="230" t="s">
        <v>914</v>
      </c>
    </row>
    <row r="26" spans="2:3" x14ac:dyDescent="0.3">
      <c r="C26" s="191"/>
    </row>
    <row r="27" spans="2:3" x14ac:dyDescent="0.3">
      <c r="B27" s="184" t="s">
        <v>682</v>
      </c>
      <c r="C27" s="191"/>
    </row>
    <row r="28" spans="2:3" x14ac:dyDescent="0.3">
      <c r="C28" s="191"/>
    </row>
    <row r="29" spans="2:3" ht="28.8" x14ac:dyDescent="0.3">
      <c r="C29" s="191" t="s">
        <v>884</v>
      </c>
    </row>
    <row r="30" spans="2:3" x14ac:dyDescent="0.3">
      <c r="C30" s="94"/>
    </row>
    <row r="31" spans="2:3" x14ac:dyDescent="0.3">
      <c r="B31" s="184" t="s">
        <v>681</v>
      </c>
      <c r="C31" s="94"/>
    </row>
    <row r="32" spans="2:3" x14ac:dyDescent="0.3">
      <c r="B32" s="184"/>
      <c r="C32" s="94"/>
    </row>
    <row r="33" spans="2:3" ht="30" customHeight="1" x14ac:dyDescent="0.3">
      <c r="B33" s="184"/>
      <c r="C33" s="94" t="s">
        <v>669</v>
      </c>
    </row>
    <row r="34" spans="2:3" ht="15" customHeight="1" x14ac:dyDescent="0.3">
      <c r="B34" s="184"/>
      <c r="C34" s="94"/>
    </row>
    <row r="35" spans="2:3" ht="15" customHeight="1" x14ac:dyDescent="0.3">
      <c r="B35" s="184"/>
      <c r="C35" s="188" t="s">
        <v>668</v>
      </c>
    </row>
    <row r="36" spans="2:3" ht="15" customHeight="1" x14ac:dyDescent="0.3">
      <c r="B36" s="184"/>
      <c r="C36" s="94"/>
    </row>
    <row r="37" spans="2:3" ht="15" customHeight="1" x14ac:dyDescent="0.3">
      <c r="B37" s="184"/>
      <c r="C37" s="185" t="s">
        <v>885</v>
      </c>
    </row>
    <row r="38" spans="2:3" x14ac:dyDescent="0.3">
      <c r="C38" s="94"/>
    </row>
    <row r="39" spans="2:3" x14ac:dyDescent="0.3">
      <c r="B39" s="184" t="s">
        <v>0</v>
      </c>
    </row>
    <row r="41" spans="2:3" x14ac:dyDescent="0.3">
      <c r="B41" s="13"/>
      <c r="C41" s="5" t="s">
        <v>1</v>
      </c>
    </row>
    <row r="43" spans="2:3" ht="15" thickBot="1" x14ac:dyDescent="0.35">
      <c r="B43" s="6" t="s">
        <v>2</v>
      </c>
      <c r="C43" s="6" t="s">
        <v>3</v>
      </c>
    </row>
    <row r="44" spans="2:3" x14ac:dyDescent="0.3">
      <c r="B44" t="s">
        <v>679</v>
      </c>
      <c r="C44" t="s">
        <v>680</v>
      </c>
    </row>
    <row r="45" spans="2:3" x14ac:dyDescent="0.3">
      <c r="B45" t="s">
        <v>921</v>
      </c>
      <c r="C45" s="5" t="s">
        <v>923</v>
      </c>
    </row>
    <row r="46" spans="2:3" x14ac:dyDescent="0.3">
      <c r="B46" t="s">
        <v>922</v>
      </c>
      <c r="C46" t="s">
        <v>924</v>
      </c>
    </row>
    <row r="47" spans="2:3" x14ac:dyDescent="0.3">
      <c r="B47" t="s">
        <v>4</v>
      </c>
      <c r="C47" t="s">
        <v>5</v>
      </c>
    </row>
    <row r="48" spans="2:3" x14ac:dyDescent="0.3">
      <c r="B48" t="s">
        <v>677</v>
      </c>
      <c r="C48" s="5" t="s">
        <v>678</v>
      </c>
    </row>
    <row r="49" spans="2:3" x14ac:dyDescent="0.3">
      <c r="B49" t="s">
        <v>671</v>
      </c>
      <c r="C49" t="s">
        <v>670</v>
      </c>
    </row>
    <row r="50" spans="2:3" x14ac:dyDescent="0.3">
      <c r="B50" s="189" t="s">
        <v>886</v>
      </c>
      <c r="C50" s="189" t="s">
        <v>887</v>
      </c>
    </row>
    <row r="51" spans="2:3" x14ac:dyDescent="0.3">
      <c r="B51" t="s">
        <v>6</v>
      </c>
      <c r="C51" t="s">
        <v>7</v>
      </c>
    </row>
    <row r="52" spans="2:3" x14ac:dyDescent="0.3">
      <c r="B52" t="s">
        <v>8</v>
      </c>
      <c r="C52" t="s">
        <v>661</v>
      </c>
    </row>
    <row r="53" spans="2:3" x14ac:dyDescent="0.3">
      <c r="B53" t="s">
        <v>917</v>
      </c>
      <c r="C53" t="s">
        <v>919</v>
      </c>
    </row>
    <row r="54" spans="2:3" x14ac:dyDescent="0.3">
      <c r="B54" t="s">
        <v>918</v>
      </c>
      <c r="C54" t="s">
        <v>920</v>
      </c>
    </row>
    <row r="55" spans="2:3" ht="15" thickBot="1" x14ac:dyDescent="0.35">
      <c r="B55" s="7" t="s">
        <v>9</v>
      </c>
      <c r="C55" s="7" t="s">
        <v>10</v>
      </c>
    </row>
    <row r="59" spans="2:3" x14ac:dyDescent="0.3">
      <c r="C59" s="188"/>
    </row>
    <row r="60" spans="2:3" x14ac:dyDescent="0.3">
      <c r="C60" s="203"/>
    </row>
    <row r="61" spans="2:3" x14ac:dyDescent="0.3">
      <c r="C61" s="185"/>
    </row>
    <row r="62" spans="2:3" x14ac:dyDescent="0.3">
      <c r="C62"/>
    </row>
    <row r="67" spans="3:3" x14ac:dyDescent="0.3">
      <c r="C67" s="187"/>
    </row>
  </sheetData>
  <hyperlinks>
    <hyperlink ref="C35" r:id="rId1" display="Refer to FAQ11 for current regional NDRS contacts." xr:uid="{BF3BBD4C-995D-4C6F-A428-C3979B5D05AF}"/>
    <hyperlink ref="C37" r:id="rId2" display="The key COSD data requirements for National Kidney Cancer Audit are available here." xr:uid="{0F66CB91-C693-45B1-BF2B-0972A0024F0E}"/>
  </hyperlinks>
  <pageMargins left="0.7" right="0.7" top="0.75" bottom="0.75" header="0.3" footer="0.3"/>
  <pageSetup paperSize="9" orientation="portrait" r:id="rId3"/>
  <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79998168889431442"/>
  </sheetPr>
  <dimension ref="A1:BE2"/>
  <sheetViews>
    <sheetView workbookViewId="0">
      <selection activeCell="A2" sqref="A2"/>
    </sheetView>
  </sheetViews>
  <sheetFormatPr defaultRowHeight="14.4" x14ac:dyDescent="0.3"/>
  <cols>
    <col min="1" max="1" width="7.6640625" bestFit="1" customWidth="1"/>
    <col min="2" max="2" width="11.88671875" customWidth="1"/>
    <col min="3" max="3" width="7.44140625" customWidth="1"/>
    <col min="4" max="4" width="16" customWidth="1"/>
    <col min="5" max="5" width="13.88671875" customWidth="1"/>
    <col min="6" max="6" width="9.44140625" customWidth="1"/>
    <col min="7" max="7" width="7.44140625" customWidth="1"/>
    <col min="8" max="8" width="8.109375" customWidth="1"/>
    <col min="9" max="10" width="7.5546875" customWidth="1"/>
    <col min="11" max="11" width="7.33203125" customWidth="1"/>
    <col min="12" max="12" width="15" customWidth="1"/>
    <col min="13" max="13" width="9.44140625" customWidth="1"/>
    <col min="14" max="14" width="10.109375" customWidth="1"/>
    <col min="15" max="16" width="9.5546875" customWidth="1"/>
    <col min="17" max="17" width="9.33203125" customWidth="1"/>
    <col min="18" max="18" width="10.109375" customWidth="1"/>
    <col min="19" max="21" width="7.109375" customWidth="1"/>
    <col min="22" max="22" width="10.33203125" customWidth="1"/>
    <col min="23" max="23" width="12.109375" customWidth="1"/>
    <col min="24" max="26" width="9.109375" customWidth="1"/>
    <col min="27" max="27" width="12.33203125" customWidth="1"/>
    <col min="28" max="28" width="6.5546875" customWidth="1"/>
    <col min="29" max="29" width="10.5546875" customWidth="1"/>
    <col min="30" max="30" width="7.5546875" customWidth="1"/>
    <col min="31" max="31" width="14.6640625" customWidth="1"/>
    <col min="32" max="32" width="8.5546875" customWidth="1"/>
    <col min="33" max="33" width="8.6640625" customWidth="1"/>
    <col min="34" max="34" width="9.5546875" customWidth="1"/>
    <col min="35" max="35" width="12.44140625" customWidth="1"/>
    <col min="36" max="37" width="5.5546875" bestFit="1" customWidth="1"/>
    <col min="38" max="39" width="6.109375" customWidth="1"/>
    <col min="40" max="40" width="12.33203125" bestFit="1" customWidth="1"/>
    <col min="41" max="41" width="12.44140625" customWidth="1"/>
    <col min="42" max="43" width="7.109375" customWidth="1"/>
    <col min="44" max="45" width="8.109375" customWidth="1"/>
    <col min="46" max="46" width="7.109375" customWidth="1"/>
    <col min="47" max="51" width="6.109375" customWidth="1"/>
    <col min="52" max="52" width="13.44140625" customWidth="1"/>
    <col min="53" max="57" width="8.109375" customWidth="1"/>
    <col min="58" max="59" width="23.6640625" customWidth="1"/>
    <col min="60" max="60" width="31" customWidth="1"/>
  </cols>
  <sheetData>
    <row r="1" spans="1:57" x14ac:dyDescent="0.3">
      <c r="A1" s="88" t="s">
        <v>602</v>
      </c>
      <c r="B1" s="88" t="s">
        <v>604</v>
      </c>
      <c r="C1" s="88" t="s">
        <v>605</v>
      </c>
      <c r="D1" s="88" t="s">
        <v>606</v>
      </c>
      <c r="E1" s="88" t="s">
        <v>607</v>
      </c>
      <c r="F1" s="88" t="s">
        <v>608</v>
      </c>
      <c r="G1" s="88" t="s">
        <v>609</v>
      </c>
      <c r="H1" s="88" t="s">
        <v>610</v>
      </c>
      <c r="I1" s="88" t="s">
        <v>611</v>
      </c>
      <c r="J1" s="88" t="s">
        <v>612</v>
      </c>
      <c r="K1" s="88" t="s">
        <v>613</v>
      </c>
      <c r="L1" s="88" t="s">
        <v>614</v>
      </c>
      <c r="M1" s="88" t="s">
        <v>615</v>
      </c>
      <c r="N1" s="88" t="s">
        <v>616</v>
      </c>
      <c r="O1" s="88" t="s">
        <v>617</v>
      </c>
      <c r="P1" s="88" t="s">
        <v>618</v>
      </c>
      <c r="Q1" s="88" t="s">
        <v>619</v>
      </c>
      <c r="R1" s="88" t="s">
        <v>620</v>
      </c>
      <c r="S1" s="88" t="s">
        <v>621</v>
      </c>
      <c r="T1" s="88" t="s">
        <v>622</v>
      </c>
      <c r="U1" s="88" t="s">
        <v>623</v>
      </c>
      <c r="V1" s="88" t="s">
        <v>624</v>
      </c>
      <c r="W1" s="88" t="s">
        <v>625</v>
      </c>
      <c r="X1" s="88" t="s">
        <v>626</v>
      </c>
      <c r="Y1" s="88" t="s">
        <v>627</v>
      </c>
      <c r="Z1" s="88" t="s">
        <v>628</v>
      </c>
      <c r="AA1" s="88" t="s">
        <v>629</v>
      </c>
      <c r="AB1" s="88" t="s">
        <v>630</v>
      </c>
      <c r="AC1" s="88" t="s">
        <v>631</v>
      </c>
      <c r="AD1" s="88" t="s">
        <v>632</v>
      </c>
      <c r="AE1" s="88" t="s">
        <v>633</v>
      </c>
      <c r="AF1" s="88" t="s">
        <v>634</v>
      </c>
      <c r="AG1" s="88" t="s">
        <v>635</v>
      </c>
      <c r="AH1" s="88" t="s">
        <v>636</v>
      </c>
      <c r="AI1" s="88" t="s">
        <v>637</v>
      </c>
      <c r="AJ1" s="88" t="s">
        <v>638</v>
      </c>
      <c r="AK1" s="88" t="s">
        <v>639</v>
      </c>
      <c r="AL1" s="88" t="s">
        <v>640</v>
      </c>
      <c r="AM1" s="88" t="s">
        <v>641</v>
      </c>
      <c r="AN1" s="88" t="s">
        <v>642</v>
      </c>
      <c r="AO1" s="88" t="s">
        <v>643</v>
      </c>
      <c r="AP1" s="88" t="s">
        <v>644</v>
      </c>
      <c r="AQ1" s="88" t="s">
        <v>645</v>
      </c>
      <c r="AR1" s="88" t="s">
        <v>646</v>
      </c>
      <c r="AS1" s="88" t="s">
        <v>647</v>
      </c>
      <c r="AT1" s="88" t="s">
        <v>648</v>
      </c>
      <c r="AU1" s="88" t="s">
        <v>649</v>
      </c>
      <c r="AV1" s="88" t="s">
        <v>650</v>
      </c>
      <c r="AW1" s="88" t="s">
        <v>651</v>
      </c>
      <c r="AX1" s="88" t="s">
        <v>652</v>
      </c>
      <c r="AY1" s="88" t="s">
        <v>653</v>
      </c>
      <c r="AZ1" s="88" t="s">
        <v>654</v>
      </c>
      <c r="BA1" s="88" t="s">
        <v>655</v>
      </c>
      <c r="BB1" s="88" t="s">
        <v>656</v>
      </c>
      <c r="BC1" s="88" t="s">
        <v>657</v>
      </c>
      <c r="BD1" s="88" t="s">
        <v>658</v>
      </c>
      <c r="BE1" s="88" t="s">
        <v>659</v>
      </c>
    </row>
    <row r="2" spans="1:57" s="29" customFormat="1" x14ac:dyDescent="0.3">
      <c r="A2" s="89" t="s">
        <v>603</v>
      </c>
      <c r="B2" s="159">
        <v>15529</v>
      </c>
      <c r="C2" s="159">
        <v>1476</v>
      </c>
      <c r="D2" s="159">
        <v>17473</v>
      </c>
      <c r="E2" s="159">
        <v>91.320198059082031</v>
      </c>
      <c r="F2" s="159">
        <v>8.6798000335693359</v>
      </c>
      <c r="G2" s="159">
        <v>29938</v>
      </c>
      <c r="H2" s="159">
        <v>801</v>
      </c>
      <c r="I2" s="159">
        <v>1047</v>
      </c>
      <c r="J2" s="159">
        <v>822</v>
      </c>
      <c r="K2" s="159">
        <v>808</v>
      </c>
      <c r="L2" s="159">
        <v>1062</v>
      </c>
      <c r="M2" s="159">
        <v>89.591812133789063</v>
      </c>
      <c r="N2" s="159">
        <v>2.3970553874969482</v>
      </c>
      <c r="O2" s="159">
        <v>3.1332294940948486</v>
      </c>
      <c r="P2" s="159">
        <v>2.4598994255065918</v>
      </c>
      <c r="Q2" s="159">
        <v>2.4180033206939697</v>
      </c>
      <c r="R2" s="159">
        <v>9055</v>
      </c>
      <c r="S2" s="159">
        <v>7385</v>
      </c>
      <c r="T2" s="159">
        <v>6859</v>
      </c>
      <c r="U2" s="159">
        <v>6016</v>
      </c>
      <c r="V2" s="159">
        <v>5163</v>
      </c>
      <c r="W2" s="159">
        <v>26.263124465942383</v>
      </c>
      <c r="X2" s="159">
        <v>21.419456481933594</v>
      </c>
      <c r="Y2" s="159">
        <v>19.893844604492188</v>
      </c>
      <c r="Z2" s="159">
        <v>17.448808670043945</v>
      </c>
      <c r="AA2" s="159">
        <v>14.974766731262207</v>
      </c>
      <c r="AB2" s="159">
        <v>2541</v>
      </c>
      <c r="AC2" s="159">
        <v>466</v>
      </c>
      <c r="AD2" s="159">
        <v>19345</v>
      </c>
      <c r="AE2" s="159">
        <v>12126</v>
      </c>
      <c r="AF2" s="159">
        <v>7.3699169158935547</v>
      </c>
      <c r="AG2" s="159">
        <v>1.3515864610671997</v>
      </c>
      <c r="AH2" s="159">
        <v>56.108242034912109</v>
      </c>
      <c r="AI2" s="159">
        <v>35.170253753662109</v>
      </c>
      <c r="AJ2" s="159">
        <v>6756</v>
      </c>
      <c r="AK2" s="159">
        <v>2353</v>
      </c>
      <c r="AL2" s="159">
        <v>3639</v>
      </c>
      <c r="AM2" s="159">
        <v>2771</v>
      </c>
      <c r="AN2" s="159">
        <v>14140</v>
      </c>
      <c r="AO2" s="159">
        <v>4819</v>
      </c>
      <c r="AP2" s="159">
        <v>22.778921127319336</v>
      </c>
      <c r="AQ2" s="159">
        <v>7.9335107803344727</v>
      </c>
      <c r="AR2" s="159">
        <v>12.269462585449219</v>
      </c>
      <c r="AS2" s="159">
        <v>9.3428640365600586</v>
      </c>
      <c r="AT2" s="159">
        <v>47.675243377685547</v>
      </c>
      <c r="AU2" s="159">
        <v>6083</v>
      </c>
      <c r="AV2" s="159">
        <v>9188</v>
      </c>
      <c r="AW2" s="159">
        <v>5626</v>
      </c>
      <c r="AX2" s="159">
        <v>5835</v>
      </c>
      <c r="AY2" s="159">
        <v>1770</v>
      </c>
      <c r="AZ2" s="159">
        <v>5976</v>
      </c>
      <c r="BA2" s="159">
        <v>21.342361450195313</v>
      </c>
      <c r="BB2" s="159">
        <v>32.236335754394531</v>
      </c>
      <c r="BC2" s="159">
        <v>19.73896598815918</v>
      </c>
      <c r="BD2" s="159">
        <v>20.472248077392578</v>
      </c>
      <c r="BE2" s="159">
        <v>6.2100906372070313</v>
      </c>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C3:R116"/>
  <sheetViews>
    <sheetView showGridLines="0" topLeftCell="A6" zoomScale="80" zoomScaleNormal="80" workbookViewId="0">
      <selection activeCell="D9" sqref="D9:G9"/>
    </sheetView>
  </sheetViews>
  <sheetFormatPr defaultRowHeight="14.4" x14ac:dyDescent="0.3"/>
  <cols>
    <col min="1" max="1" width="3.88671875" customWidth="1"/>
    <col min="2" max="2" width="3" customWidth="1"/>
    <col min="3" max="3" width="3.5546875" customWidth="1"/>
    <col min="4" max="4" width="46.88671875" customWidth="1"/>
    <col min="5" max="5" width="20.44140625" customWidth="1"/>
    <col min="6" max="6" width="20.109375" bestFit="1" customWidth="1"/>
    <col min="7" max="7" width="22.44140625" customWidth="1"/>
    <col min="8" max="8" width="21.109375" customWidth="1"/>
    <col min="9" max="9" width="7.5546875" customWidth="1"/>
    <col min="10" max="10" width="4" customWidth="1"/>
    <col min="11" max="11" width="50.109375" customWidth="1"/>
    <col min="12" max="12" width="17.44140625" bestFit="1" customWidth="1"/>
    <col min="13" max="13" width="16.5546875" customWidth="1"/>
    <col min="14" max="14" width="3.109375" customWidth="1"/>
    <col min="15" max="15" width="23.6640625" customWidth="1"/>
    <col min="16" max="16" width="19.33203125" bestFit="1" customWidth="1"/>
    <col min="17" max="17" width="18.109375" bestFit="1" customWidth="1"/>
    <col min="18" max="18" width="19.33203125" bestFit="1" customWidth="1"/>
  </cols>
  <sheetData>
    <row r="3" spans="3:18" x14ac:dyDescent="0.3">
      <c r="J3" s="1" t="s">
        <v>12</v>
      </c>
    </row>
    <row r="4" spans="3:18" ht="15" customHeight="1" x14ac:dyDescent="0.3">
      <c r="K4" s="262" t="str">
        <f ca="1">selected_dq_num_xc</f>
        <v>Number of people with a new diagnosis of kidney cancer and recorded MDT first meeting date</v>
      </c>
      <c r="L4" s="262"/>
      <c r="M4" s="262"/>
      <c r="N4" s="262"/>
      <c r="O4" s="262"/>
    </row>
    <row r="5" spans="3:18" ht="15.75" customHeight="1" x14ac:dyDescent="0.3">
      <c r="K5" s="262"/>
      <c r="L5" s="262"/>
      <c r="M5" s="262"/>
      <c r="N5" s="262"/>
      <c r="O5" s="262"/>
    </row>
    <row r="6" spans="3:18" x14ac:dyDescent="0.3">
      <c r="J6" s="1" t="s">
        <v>13</v>
      </c>
    </row>
    <row r="7" spans="3:18" ht="15" customHeight="1" x14ac:dyDescent="0.3">
      <c r="C7" s="1" t="s">
        <v>14</v>
      </c>
      <c r="K7" s="262" t="str">
        <f ca="1">selected_dq_denomdescr_xc</f>
        <v>Number of people with a new diagnosis of kidney cancer</v>
      </c>
      <c r="L7" s="262"/>
      <c r="M7" s="262"/>
      <c r="N7" s="262"/>
      <c r="O7" s="262"/>
    </row>
    <row r="8" spans="3:18" ht="15" customHeight="1" thickBot="1" x14ac:dyDescent="0.35">
      <c r="F8" s="2"/>
      <c r="K8" s="262"/>
      <c r="L8" s="262"/>
      <c r="M8" s="262"/>
      <c r="N8" s="262"/>
      <c r="O8" s="262"/>
      <c r="R8" s="53"/>
    </row>
    <row r="9" spans="3:18" ht="15" customHeight="1" thickBot="1" x14ac:dyDescent="0.35">
      <c r="D9" s="271" t="s">
        <v>15</v>
      </c>
      <c r="E9" s="272"/>
      <c r="F9" s="272"/>
      <c r="G9" s="273"/>
      <c r="J9" s="1" t="s">
        <v>16</v>
      </c>
      <c r="R9" s="53"/>
    </row>
    <row r="10" spans="3:18" ht="15" customHeight="1" x14ac:dyDescent="0.3">
      <c r="K10" s="94" t="str">
        <f ca="1">selected_dq_datasource_xc</f>
        <v>Cancer Outcomes and Services Dataset</v>
      </c>
      <c r="L10" s="52"/>
      <c r="M10" s="52"/>
      <c r="R10" s="53"/>
    </row>
    <row r="11" spans="3:18" ht="15" customHeight="1" x14ac:dyDescent="0.3">
      <c r="C11" s="12" t="e">
        <f ca="1">"This selected Trust is within the "&amp;selected_trust_xc_ca_name&amp;" Cancer Alliance"</f>
        <v>#REF!</v>
      </c>
      <c r="K11" s="53"/>
      <c r="L11" s="53"/>
      <c r="M11" s="53"/>
      <c r="R11" s="53"/>
    </row>
    <row r="12" spans="3:18" ht="15.75" customHeight="1" x14ac:dyDescent="0.3">
      <c r="J12" s="95" t="s">
        <v>17</v>
      </c>
      <c r="L12" s="52"/>
      <c r="M12" s="52"/>
      <c r="R12" s="53"/>
    </row>
    <row r="13" spans="3:18" ht="15.75" customHeight="1" x14ac:dyDescent="0.3">
      <c r="C13" s="1" t="s">
        <v>18</v>
      </c>
      <c r="F13" s="2"/>
      <c r="K13" s="93" t="str">
        <f ca="1">selected_dq_datavar_xc</f>
        <v>MDT First Meeting Date</v>
      </c>
      <c r="R13" s="53"/>
    </row>
    <row r="14" spans="3:18" ht="14.25" customHeight="1" thickBot="1" x14ac:dyDescent="0.35">
      <c r="F14" s="2"/>
      <c r="K14" s="54"/>
    </row>
    <row r="15" spans="3:18" ht="15" customHeight="1" thickBot="1" x14ac:dyDescent="0.35">
      <c r="D15" s="271" t="s">
        <v>19</v>
      </c>
      <c r="E15" s="272"/>
      <c r="F15" s="272"/>
      <c r="G15" s="273"/>
      <c r="J15" s="92" t="s">
        <v>20</v>
      </c>
    </row>
    <row r="16" spans="3:18" x14ac:dyDescent="0.3">
      <c r="F16" s="2"/>
      <c r="K16" s="173">
        <f ca="1">selected_dq_target_xc</f>
        <v>0.9</v>
      </c>
    </row>
    <row r="17" spans="3:15" x14ac:dyDescent="0.3">
      <c r="C17" s="257" t="s">
        <v>21</v>
      </c>
      <c r="D17" s="257"/>
      <c r="E17" s="257"/>
      <c r="F17" s="257"/>
      <c r="G17" s="257"/>
    </row>
    <row r="18" spans="3:15" ht="15" customHeight="1" x14ac:dyDescent="0.3">
      <c r="C18" s="257"/>
      <c r="D18" s="257"/>
      <c r="E18" s="257"/>
      <c r="F18" s="257"/>
      <c r="G18" s="257"/>
      <c r="J18" s="1" t="s">
        <v>22</v>
      </c>
    </row>
    <row r="19" spans="3:15" x14ac:dyDescent="0.3">
      <c r="F19" s="2"/>
      <c r="K19" s="93" t="str">
        <f ca="1">selected_dq_time_xc</f>
        <v>People diagnosed 1st April 2021 to 31st March 2024</v>
      </c>
    </row>
    <row r="20" spans="3:15" x14ac:dyDescent="0.3">
      <c r="F20" s="2"/>
    </row>
    <row r="21" spans="3:15" ht="15" customHeight="1" x14ac:dyDescent="0.3">
      <c r="C21" s="267" t="str">
        <f>"Table 1: "&amp;selected_dq_descr_xc&amp;" between "&amp;start_date_england&amp;" and "&amp;end_date_england</f>
        <v>Table 1: Data completeness for Morphology (among all patients) between 1st April 2021 and 31st March 2024</v>
      </c>
      <c r="D21" s="267"/>
      <c r="E21" s="267"/>
      <c r="F21" s="267"/>
      <c r="G21" s="267"/>
      <c r="H21" s="267"/>
      <c r="J21" s="267" t="str">
        <f>"Figure 1: "&amp;D15&amp;" between "&amp;start_date_england&amp;" and "&amp;end_date_england</f>
        <v>Figure 1: Data completeness for Morphology (among all patients) between 1st April 2021 and 31st March 2024</v>
      </c>
      <c r="K21" s="267"/>
      <c r="L21" s="267"/>
      <c r="M21" s="267"/>
      <c r="N21" s="267"/>
      <c r="O21" s="267"/>
    </row>
    <row r="22" spans="3:15" x14ac:dyDescent="0.3">
      <c r="C22" s="267"/>
      <c r="D22" s="267"/>
      <c r="E22" s="267"/>
      <c r="F22" s="267"/>
      <c r="G22" s="267"/>
      <c r="H22" s="267"/>
      <c r="J22" s="267"/>
      <c r="K22" s="267"/>
      <c r="L22" s="267"/>
      <c r="M22" s="267"/>
      <c r="N22" s="267"/>
      <c r="O22" s="267"/>
    </row>
    <row r="23" spans="3:15" ht="15" customHeight="1" x14ac:dyDescent="0.3">
      <c r="D23" s="47"/>
      <c r="E23" s="22"/>
      <c r="F23" s="263" t="s">
        <v>23</v>
      </c>
      <c r="G23" s="20" t="s">
        <v>24</v>
      </c>
      <c r="H23" s="268" t="str">
        <f>"Rank (nationally, among "&amp;n_trusts&amp;" trusts/"&amp;n_ca&amp;" cancer alliances)"</f>
        <v>Rank (nationally, among 121 trusts/0 cancer alliances)</v>
      </c>
    </row>
    <row r="24" spans="3:15" x14ac:dyDescent="0.3">
      <c r="D24" s="117"/>
      <c r="F24" s="275"/>
      <c r="G24" s="138" t="str">
        <f ca="1">"Target (%): "&amp;$K$16*100</f>
        <v>Target (%): 90</v>
      </c>
      <c r="H24" s="270"/>
    </row>
    <row r="25" spans="3:15" x14ac:dyDescent="0.3">
      <c r="D25" s="48"/>
      <c r="E25" s="8"/>
      <c r="F25" s="264"/>
      <c r="G25" s="8"/>
      <c r="H25" s="269"/>
    </row>
    <row r="26" spans="3:15" x14ac:dyDescent="0.3">
      <c r="D26" s="37" t="str">
        <f>selected_trust_xc</f>
        <v>Barnsley Hospital NHS Foundation Trust</v>
      </c>
      <c r="F26" s="123">
        <f ca="1">INDEX(INDIRECT(trust_dq_table),MATCH(selected_trust_xc,INDIRECT(trust_dq_rows),0),MATCH(selected_dq_denom_xc,INDIRECT(trust_dq_cols),0))</f>
        <v>208</v>
      </c>
      <c r="G26" s="174" t="e">
        <f ca="1">INDEX(INDIRECT(trust_dq_table),MATCH(selected_trust_xc,INDIRECT(trust_dq_rows),0),MATCH(selected_dq_name_xc,INDIRECT(trust_dq_cols),0))</f>
        <v>#N/A</v>
      </c>
      <c r="H26" s="49" t="e">
        <f ca="1">INDEX(INDIRECT(trust_dq_table),MATCH(selected_trust_xc,INDIRECT(trust_dq_rows),0),MATCH(trust_data_quality!$S$1,INDIRECT(trust_dq_cols),0))</f>
        <v>#N/A</v>
      </c>
    </row>
    <row r="27" spans="3:15" x14ac:dyDescent="0.3">
      <c r="D27" s="37" t="e">
        <f ca="1">selected_trust_xc_ca_name&amp;" cancer alliance"</f>
        <v>#REF!</v>
      </c>
      <c r="F27" s="123" t="e">
        <f ca="1">INDEX(INDIRECT(aliance_dq_table),MATCH(selected_trust_xc_ca_name,INDIRECT(aliance_dq_rows),0),MATCH(selected_dq_denom_xc,INDIRECT(aliance_dq_cols),0))</f>
        <v>#REF!</v>
      </c>
      <c r="G27" s="174" t="e">
        <f ca="1">INDEX(INDIRECT(aliance_dq_table),MATCH(selected_trust_xc_ca_name,INDIRECT(aliance_dq_rows),0),MATCH(selected_dq_name_xc,INDIRECT(aliance_dq_cols),0))</f>
        <v>#REF!</v>
      </c>
      <c r="H27" s="49" t="e">
        <f ca="1">INDEX(INDIRECT(aliance_dq_table),MATCH(selected_trust_xc_ca_name,INDIRECT(aliance_dq_rows),0),MATCH(aliance_data_quality!$Q$1,INDIRECT(aliance_dq_cols),0))</f>
        <v>#REF!</v>
      </c>
    </row>
    <row r="28" spans="3:15" x14ac:dyDescent="0.3">
      <c r="D28" s="38" t="s">
        <v>25</v>
      </c>
      <c r="E28" s="8"/>
      <c r="F28" s="124">
        <f ca="1">INDEX(table_national_dq,2,MATCH(selected_dq_denom_xc,INDIRECT(national_dq_cols),0))</f>
        <v>34478</v>
      </c>
      <c r="G28" s="175" t="e">
        <f ca="1">INDEX(table_national_dq,2,MATCH(selected_dq_name_xc,INDIRECT(national_dq_cols),0))</f>
        <v>#N/A</v>
      </c>
      <c r="H28" s="50" t="s">
        <v>26</v>
      </c>
    </row>
    <row r="29" spans="3:15" x14ac:dyDescent="0.3">
      <c r="D29" t="s">
        <v>27</v>
      </c>
    </row>
    <row r="31" spans="3:15" x14ac:dyDescent="0.3">
      <c r="C31" s="274" t="e">
        <f ca="1">"Table 2: "&amp;selected_dq_descr_xc&amp;" at NHS Trusts within the "&amp;selected_trust_xc_ca_name&amp;" Cancer Alliance"&amp;" between "&amp;start_date_england&amp;" and "&amp;end_date_england</f>
        <v>#REF!</v>
      </c>
      <c r="D31" s="274"/>
      <c r="E31" s="274"/>
      <c r="F31" s="274"/>
      <c r="G31" s="274"/>
      <c r="H31" s="274"/>
    </row>
    <row r="32" spans="3:15" x14ac:dyDescent="0.3">
      <c r="C32" s="274"/>
      <c r="D32" s="274"/>
      <c r="E32" s="274"/>
      <c r="F32" s="274"/>
      <c r="G32" s="274"/>
      <c r="H32" s="274"/>
    </row>
    <row r="33" spans="4:9" x14ac:dyDescent="0.3">
      <c r="D33" s="1"/>
    </row>
    <row r="34" spans="4:9" x14ac:dyDescent="0.3">
      <c r="D34" s="265" t="s">
        <v>28</v>
      </c>
      <c r="E34" s="22"/>
      <c r="F34" s="263" t="s">
        <v>23</v>
      </c>
      <c r="G34" s="20" t="s">
        <v>24</v>
      </c>
      <c r="H34" s="268" t="str">
        <f>"Rank (nationally, among "&amp;n_trusts&amp;" trusts)"</f>
        <v>Rank (nationally, among 121 trusts)</v>
      </c>
    </row>
    <row r="35" spans="4:9" x14ac:dyDescent="0.3">
      <c r="D35" s="266"/>
      <c r="E35" s="8"/>
      <c r="F35" s="264"/>
      <c r="G35" s="21" t="str">
        <f ca="1">"Target (%): "&amp;$K$16*100</f>
        <v>Target (%): 90</v>
      </c>
      <c r="H35" s="269"/>
    </row>
    <row r="36" spans="4:9" x14ac:dyDescent="0.3">
      <c r="D36" s="33" t="e" cm="1">
        <f t="array" aca="1" ref="D36" ca="1">IF(ROWS($D$35:D35)&lt;=n_trusts_in_CA, INDEX(trust_data_quality!$A$2:$A$127,_xlfn.AGGREGATE(15,3,(trust_data_quality!$C$2:$C$127=selected_trust_xc_ca_name)/(trust_data_quality!$C$2:$C$127=selected_trust_xc_ca_name)*(ROW(trust_data_quality!$C$2:$C$127)-ROW(trust_data_quality!$C$1)),ROWS($D$35:D35))),"")</f>
        <v>#REF!</v>
      </c>
      <c r="F36" s="125" t="e" cm="1">
        <f t="array" aca="1" ref="F36" ca="1">IF(ROWS($F$35:F35)&lt;=n_trusts_in_CA, INDEX(trust_data_quality!$E$2:$E$127,_xlfn.AGGREGATE(15,3,(trust_data_quality!$C$2:$C$127=selected_trust_xc_ca_name)/(trust_data_quality!$C$2:$C$127=selected_trust_xc_ca_name)*(ROW(trust_data_quality!$C$2:$C$127)-ROW(trust_data_quality!$C$1)),ROWS($F$35:F35))),"")</f>
        <v>#REF!</v>
      </c>
      <c r="G36" s="174" t="e" cm="1">
        <f t="array" aca="1" ref="G36" ca="1">IF(ROWS($G$35:G35)&lt;=n_trusts_in_CA, INDEX(trust_data_quality!$R$2:$R$127,_xlfn.AGGREGATE(15,3,(trust_data_quality!$C$2:$C$127=selected_trust_xc_ca_name)/(trust_data_quality!$C$2:$C$127=selected_trust_xc_ca_name)*(ROW(trust_data_quality!$C$2:$C$127)-ROW(trust_data_quality!$C$1)),ROWS($G$35:G35))),"")</f>
        <v>#REF!</v>
      </c>
      <c r="H36" s="49" t="e" cm="1">
        <f t="array" aca="1" ref="H36" ca="1">IF(ROWS($H$35:H35)&lt;=n_trusts_in_CA, INDEX(trust_data_quality!$S$2:$S$127,_xlfn.AGGREGATE(15,3,(trust_data_quality!$C$2:$C$127=selected_trust_xc_ca_name)/(trust_data_quality!$C$2:$C$127=selected_trust_xc_ca_name)*(ROW(trust_data_quality!$C$2:$C$127)-ROW(trust_data_quality!$C$1)),ROWS($H$35:H35))),"")</f>
        <v>#REF!</v>
      </c>
      <c r="I36" s="4"/>
    </row>
    <row r="37" spans="4:9" x14ac:dyDescent="0.3">
      <c r="D37" s="33" t="e" cm="1">
        <f t="array" aca="1" ref="D37" ca="1">IF(ROWS($D$35:D36)&lt;=n_trusts_in_CA, INDEX(trust_data_quality!$A$2:$A$127,_xlfn.AGGREGATE(15,3,(trust_data_quality!$C$2:$C$127=selected_trust_xc_ca_name)/(trust_data_quality!$C$2:$C$127=selected_trust_xc_ca_name)*(ROW(trust_data_quality!$C$2:$C$127)-ROW(trust_data_quality!$C$1)),ROWS($D$35:D36))),"")</f>
        <v>#REF!</v>
      </c>
      <c r="F37" s="125" t="e" cm="1">
        <f t="array" aca="1" ref="F37" ca="1">IF(ROWS($F$35:F36)&lt;=n_trusts_in_CA, INDEX(trust_data_quality!$E$2:$E$127,_xlfn.AGGREGATE(15,3,(trust_data_quality!$C$2:$C$127=selected_trust_xc_ca_name)/(trust_data_quality!$C$2:$C$127=selected_trust_xc_ca_name)*(ROW(trust_data_quality!$C$2:$C$127)-ROW(trust_data_quality!$C$1)),ROWS($F$35:F36))),"")</f>
        <v>#REF!</v>
      </c>
      <c r="G37" s="174" t="e" cm="1">
        <f t="array" aca="1" ref="G37" ca="1">IF(ROWS($G$35:G36)&lt;=n_trusts_in_CA, INDEX(trust_data_quality!$R$2:$R$127,_xlfn.AGGREGATE(15,3,(trust_data_quality!$C$2:$C$127=selected_trust_xc_ca_name)/(trust_data_quality!$C$2:$C$127=selected_trust_xc_ca_name)*(ROW(trust_data_quality!$C$2:$C$127)-ROW(trust_data_quality!$C$1)),ROWS($G$35:G36))),"")</f>
        <v>#REF!</v>
      </c>
      <c r="H37" s="49" t="e" cm="1">
        <f t="array" aca="1" ref="H37" ca="1">IF(ROWS($H$35:H36)&lt;=n_trusts_in_CA, INDEX(trust_data_quality!$S$2:$S$127,_xlfn.AGGREGATE(15,3,(trust_data_quality!$C$2:$C$127=selected_trust_xc_ca_name)/(trust_data_quality!$C$2:$C$127=selected_trust_xc_ca_name)*(ROW(trust_data_quality!$C$2:$C$127)-ROW(trust_data_quality!$C$1)),ROWS($H$35:H36))),"")</f>
        <v>#REF!</v>
      </c>
      <c r="I37" s="4"/>
    </row>
    <row r="38" spans="4:9" x14ac:dyDescent="0.3">
      <c r="D38" s="33" t="e" cm="1">
        <f t="array" aca="1" ref="D38" ca="1">IF(ROWS($D$35:D37)&lt;=n_trusts_in_CA, INDEX(trust_data_quality!$A$2:$A$127,_xlfn.AGGREGATE(15,3,(trust_data_quality!$C$2:$C$127=selected_trust_xc_ca_name)/(trust_data_quality!$C$2:$C$127=selected_trust_xc_ca_name)*(ROW(trust_data_quality!$C$2:$C$127)-ROW(trust_data_quality!$C$1)),ROWS($D$35:D37))),"")</f>
        <v>#REF!</v>
      </c>
      <c r="F38" s="125" t="e" cm="1">
        <f t="array" aca="1" ref="F38" ca="1">IF(ROWS($F$35:F37)&lt;=n_trusts_in_CA, INDEX(trust_data_quality!$E$2:$E$127,_xlfn.AGGREGATE(15,3,(trust_data_quality!$C$2:$C$127=selected_trust_xc_ca_name)/(trust_data_quality!$C$2:$C$127=selected_trust_xc_ca_name)*(ROW(trust_data_quality!$C$2:$C$127)-ROW(trust_data_quality!$C$1)),ROWS($F$35:F37))),"")</f>
        <v>#REF!</v>
      </c>
      <c r="G38" s="174" t="e" cm="1">
        <f t="array" aca="1" ref="G38" ca="1">IF(ROWS($G$35:G37)&lt;=n_trusts_in_CA, INDEX(trust_data_quality!$R$2:$R$127,_xlfn.AGGREGATE(15,3,(trust_data_quality!$C$2:$C$127=selected_trust_xc_ca_name)/(trust_data_quality!$C$2:$C$127=selected_trust_xc_ca_name)*(ROW(trust_data_quality!$C$2:$C$127)-ROW(trust_data_quality!$C$1)),ROWS($G$35:G37))),"")</f>
        <v>#REF!</v>
      </c>
      <c r="H38" s="49" t="e" cm="1">
        <f t="array" aca="1" ref="H38" ca="1">IF(ROWS($H$35:H37)&lt;=n_trusts_in_CA, INDEX(trust_data_quality!$S$2:$S$127,_xlfn.AGGREGATE(15,3,(trust_data_quality!$C$2:$C$127=selected_trust_xc_ca_name)/(trust_data_quality!$C$2:$C$127=selected_trust_xc_ca_name)*(ROW(trust_data_quality!$C$2:$C$127)-ROW(trust_data_quality!$C$1)),ROWS($H$35:H37))),"")</f>
        <v>#REF!</v>
      </c>
      <c r="I38" s="4"/>
    </row>
    <row r="39" spans="4:9" x14ac:dyDescent="0.3">
      <c r="D39" s="33" t="e" cm="1">
        <f t="array" aca="1" ref="D39" ca="1">IF(ROWS($D$35:D38)&lt;=n_trusts_in_CA, INDEX(trust_data_quality!$A$2:$A$127,_xlfn.AGGREGATE(15,3,(trust_data_quality!$C$2:$C$127=selected_trust_xc_ca_name)/(trust_data_quality!$C$2:$C$127=selected_trust_xc_ca_name)*(ROW(trust_data_quality!$C$2:$C$127)-ROW(trust_data_quality!$C$1)),ROWS($D$35:D38))),"")</f>
        <v>#REF!</v>
      </c>
      <c r="F39" s="125" t="e" cm="1">
        <f t="array" aca="1" ref="F39" ca="1">IF(ROWS($F$35:F38)&lt;=n_trusts_in_CA, INDEX(trust_data_quality!$E$2:$E$127,_xlfn.AGGREGATE(15,3,(trust_data_quality!$C$2:$C$127=selected_trust_xc_ca_name)/(trust_data_quality!$C$2:$C$127=selected_trust_xc_ca_name)*(ROW(trust_data_quality!$C$2:$C$127)-ROW(trust_data_quality!$C$1)),ROWS($F$35:F38))),"")</f>
        <v>#REF!</v>
      </c>
      <c r="G39" s="174" t="e" cm="1">
        <f t="array" aca="1" ref="G39" ca="1">IF(ROWS($G$35:G38)&lt;=n_trusts_in_CA, INDEX(trust_data_quality!$R$2:$R$127,_xlfn.AGGREGATE(15,3,(trust_data_quality!$C$2:$C$127=selected_trust_xc_ca_name)/(trust_data_quality!$C$2:$C$127=selected_trust_xc_ca_name)*(ROW(trust_data_quality!$C$2:$C$127)-ROW(trust_data_quality!$C$1)),ROWS($G$35:G38))),"")</f>
        <v>#REF!</v>
      </c>
      <c r="H39" s="49" t="e" cm="1">
        <f t="array" aca="1" ref="H39" ca="1">IF(ROWS($H$35:H38)&lt;=n_trusts_in_CA, INDEX(trust_data_quality!$S$2:$S$127,_xlfn.AGGREGATE(15,3,(trust_data_quality!$C$2:$C$127=selected_trust_xc_ca_name)/(trust_data_quality!$C$2:$C$127=selected_trust_xc_ca_name)*(ROW(trust_data_quality!$C$2:$C$127)-ROW(trust_data_quality!$C$1)),ROWS($H$35:H38))),"")</f>
        <v>#REF!</v>
      </c>
    </row>
    <row r="40" spans="4:9" x14ac:dyDescent="0.3">
      <c r="D40" s="33" t="e" cm="1">
        <f t="array" aca="1" ref="D40" ca="1">IF(ROWS($D$35:D39)&lt;=n_trusts_in_CA, INDEX(trust_data_quality!$A$2:$A$127,_xlfn.AGGREGATE(15,3,(trust_data_quality!$C$2:$C$127=selected_trust_xc_ca_name)/(trust_data_quality!$C$2:$C$127=selected_trust_xc_ca_name)*(ROW(trust_data_quality!$C$2:$C$127)-ROW(trust_data_quality!$C$1)),ROWS($D$35:D39))),"")</f>
        <v>#REF!</v>
      </c>
      <c r="F40" s="125" t="e" cm="1">
        <f t="array" aca="1" ref="F40" ca="1">IF(ROWS($F$35:F39)&lt;=n_trusts_in_CA, INDEX(trust_data_quality!$E$2:$E$127,_xlfn.AGGREGATE(15,3,(trust_data_quality!$C$2:$C$127=selected_trust_xc_ca_name)/(trust_data_quality!$C$2:$C$127=selected_trust_xc_ca_name)*(ROW(trust_data_quality!$C$2:$C$127)-ROW(trust_data_quality!$C$1)),ROWS($F$35:F39))),"")</f>
        <v>#REF!</v>
      </c>
      <c r="G40" s="174" t="e" cm="1">
        <f t="array" aca="1" ref="G40" ca="1">IF(ROWS($G$35:G39)&lt;=n_trusts_in_CA, INDEX(trust_data_quality!$R$2:$R$127,_xlfn.AGGREGATE(15,3,(trust_data_quality!$C$2:$C$127=selected_trust_xc_ca_name)/(trust_data_quality!$C$2:$C$127=selected_trust_xc_ca_name)*(ROW(trust_data_quality!$C$2:$C$127)-ROW(trust_data_quality!$C$1)),ROWS($G$35:G39))),"")</f>
        <v>#REF!</v>
      </c>
      <c r="H40" s="49" t="e" cm="1">
        <f t="array" aca="1" ref="H40" ca="1">IF(ROWS($H$35:H39)&lt;=n_trusts_in_CA, INDEX(trust_data_quality!$S$2:$S$127,_xlfn.AGGREGATE(15,3,(trust_data_quality!$C$2:$C$127=selected_trust_xc_ca_name)/(trust_data_quality!$C$2:$C$127=selected_trust_xc_ca_name)*(ROW(trust_data_quality!$C$2:$C$127)-ROW(trust_data_quality!$C$1)),ROWS($H$35:H39))),"")</f>
        <v>#REF!</v>
      </c>
    </row>
    <row r="41" spans="4:9" x14ac:dyDescent="0.3">
      <c r="D41" s="33" t="e" cm="1">
        <f t="array" aca="1" ref="D41" ca="1">IF(ROWS($D$35:D40)&lt;=n_trusts_in_CA, INDEX(trust_data_quality!$A$2:$A$127,_xlfn.AGGREGATE(15,3,(trust_data_quality!$C$2:$C$127=selected_trust_xc_ca_name)/(trust_data_quality!$C$2:$C$127=selected_trust_xc_ca_name)*(ROW(trust_data_quality!$C$2:$C$127)-ROW(trust_data_quality!$C$1)),ROWS($D$35:D40))),"")</f>
        <v>#REF!</v>
      </c>
      <c r="F41" s="125" t="e" cm="1">
        <f t="array" aca="1" ref="F41" ca="1">IF(ROWS($F$35:F40)&lt;=n_trusts_in_CA, INDEX(trust_data_quality!$E$2:$E$127,_xlfn.AGGREGATE(15,3,(trust_data_quality!$C$2:$C$127=selected_trust_xc_ca_name)/(trust_data_quality!$C$2:$C$127=selected_trust_xc_ca_name)*(ROW(trust_data_quality!$C$2:$C$127)-ROW(trust_data_quality!$C$1)),ROWS($F$35:F40))),"")</f>
        <v>#REF!</v>
      </c>
      <c r="G41" s="174" t="e" cm="1">
        <f t="array" aca="1" ref="G41" ca="1">IF(ROWS($G$35:G40)&lt;=n_trusts_in_CA, INDEX(trust_data_quality!$R$2:$R$127,_xlfn.AGGREGATE(15,3,(trust_data_quality!$C$2:$C$127=selected_trust_xc_ca_name)/(trust_data_quality!$C$2:$C$127=selected_trust_xc_ca_name)*(ROW(trust_data_quality!$C$2:$C$127)-ROW(trust_data_quality!$C$1)),ROWS($G$35:G40))),"")</f>
        <v>#REF!</v>
      </c>
      <c r="H41" s="49" t="e" cm="1">
        <f t="array" aca="1" ref="H41" ca="1">IF(ROWS($H$35:H40)&lt;=n_trusts_in_CA, INDEX(trust_data_quality!$S$2:$S$127,_xlfn.AGGREGATE(15,3,(trust_data_quality!$C$2:$C$127=selected_trust_xc_ca_name)/(trust_data_quality!$C$2:$C$127=selected_trust_xc_ca_name)*(ROW(trust_data_quality!$C$2:$C$127)-ROW(trust_data_quality!$C$1)),ROWS($H$35:H40))),"")</f>
        <v>#REF!</v>
      </c>
    </row>
    <row r="42" spans="4:9" x14ac:dyDescent="0.3">
      <c r="D42" s="33" t="e" cm="1">
        <f t="array" aca="1" ref="D42" ca="1">IF(ROWS($D$35:D41)&lt;=n_trusts_in_CA, INDEX(trust_data_quality!$A$2:$A$127,_xlfn.AGGREGATE(15,3,(trust_data_quality!$C$2:$C$127=selected_trust_xc_ca_name)/(trust_data_quality!$C$2:$C$127=selected_trust_xc_ca_name)*(ROW(trust_data_quality!$C$2:$C$127)-ROW(trust_data_quality!$C$1)),ROWS($D$35:D41))),"")</f>
        <v>#REF!</v>
      </c>
      <c r="F42" s="125" t="e" cm="1">
        <f t="array" aca="1" ref="F42" ca="1">IF(ROWS($F$35:F41)&lt;=n_trusts_in_CA, INDEX(trust_data_quality!$E$2:$E$127,_xlfn.AGGREGATE(15,3,(trust_data_quality!$C$2:$C$127=selected_trust_xc_ca_name)/(trust_data_quality!$C$2:$C$127=selected_trust_xc_ca_name)*(ROW(trust_data_quality!$C$2:$C$127)-ROW(trust_data_quality!$C$1)),ROWS($F$35:F41))),"")</f>
        <v>#REF!</v>
      </c>
      <c r="G42" s="174" t="e" cm="1">
        <f t="array" aca="1" ref="G42" ca="1">IF(ROWS($G$35:G41)&lt;=n_trusts_in_CA, INDEX(trust_data_quality!$R$2:$R$127,_xlfn.AGGREGATE(15,3,(trust_data_quality!$C$2:$C$127=selected_trust_xc_ca_name)/(trust_data_quality!$C$2:$C$127=selected_trust_xc_ca_name)*(ROW(trust_data_quality!$C$2:$C$127)-ROW(trust_data_quality!$C$1)),ROWS($G$35:G41))),"")</f>
        <v>#REF!</v>
      </c>
      <c r="H42" s="49" t="e" cm="1">
        <f t="array" aca="1" ref="H42" ca="1">IF(ROWS($H$35:H41)&lt;=n_trusts_in_CA, INDEX(trust_data_quality!$S$2:$S$127,_xlfn.AGGREGATE(15,3,(trust_data_quality!$C$2:$C$127=selected_trust_xc_ca_name)/(trust_data_quality!$C$2:$C$127=selected_trust_xc_ca_name)*(ROW(trust_data_quality!$C$2:$C$127)-ROW(trust_data_quality!$C$1)),ROWS($H$35:H41))),"")</f>
        <v>#REF!</v>
      </c>
    </row>
    <row r="43" spans="4:9" x14ac:dyDescent="0.3">
      <c r="D43" s="33" t="e" cm="1">
        <f t="array" aca="1" ref="D43" ca="1">IF(ROWS($D$35:D42)&lt;=n_trusts_in_CA, INDEX(trust_data_quality!$A$2:$A$127,_xlfn.AGGREGATE(15,3,(trust_data_quality!$C$2:$C$127=selected_trust_xc_ca_name)/(trust_data_quality!$C$2:$C$127=selected_trust_xc_ca_name)*(ROW(trust_data_quality!$C$2:$C$127)-ROW(trust_data_quality!$C$1)),ROWS($D$35:D42))),"")</f>
        <v>#REF!</v>
      </c>
      <c r="F43" s="125" t="e" cm="1">
        <f t="array" aca="1" ref="F43" ca="1">IF(ROWS($F$35:F42)&lt;=n_trusts_in_CA, INDEX(trust_data_quality!$E$2:$E$127,_xlfn.AGGREGATE(15,3,(trust_data_quality!$C$2:$C$127=selected_trust_xc_ca_name)/(trust_data_quality!$C$2:$C$127=selected_trust_xc_ca_name)*(ROW(trust_data_quality!$C$2:$C$127)-ROW(trust_data_quality!$C$1)),ROWS($F$35:F42))),"")</f>
        <v>#REF!</v>
      </c>
      <c r="G43" s="174" t="e" cm="1">
        <f t="array" aca="1" ref="G43" ca="1">IF(ROWS($G$35:G42)&lt;=n_trusts_in_CA, INDEX(trust_data_quality!$R$2:$R$127,_xlfn.AGGREGATE(15,3,(trust_data_quality!$C$2:$C$127=selected_trust_xc_ca_name)/(trust_data_quality!$C$2:$C$127=selected_trust_xc_ca_name)*(ROW(trust_data_quality!$C$2:$C$127)-ROW(trust_data_quality!$C$1)),ROWS($G$35:G42))),"")</f>
        <v>#REF!</v>
      </c>
      <c r="H43" s="49" t="e" cm="1">
        <f t="array" aca="1" ref="H43" ca="1">IF(ROWS($H$35:H42)&lt;=n_trusts_in_CA, INDEX(trust_data_quality!$S$2:$S$127,_xlfn.AGGREGATE(15,3,(trust_data_quality!$C$2:$C$127=selected_trust_xc_ca_name)/(trust_data_quality!$C$2:$C$127=selected_trust_xc_ca_name)*(ROW(trust_data_quality!$C$2:$C$127)-ROW(trust_data_quality!$C$1)),ROWS($H$35:H42))),"")</f>
        <v>#REF!</v>
      </c>
    </row>
    <row r="44" spans="4:9" x14ac:dyDescent="0.3">
      <c r="D44" s="33" t="e" cm="1">
        <f t="array" aca="1" ref="D44" ca="1">IF(ROWS($D$35:D43)&lt;=n_trusts_in_CA, INDEX(trust_data_quality!$A$2:$A$127,_xlfn.AGGREGATE(15,3,(trust_data_quality!$C$2:$C$127=selected_trust_xc_ca_name)/(trust_data_quality!$C$2:$C$127=selected_trust_xc_ca_name)*(ROW(trust_data_quality!$C$2:$C$127)-ROW(trust_data_quality!$C$1)),ROWS($D$35:D43))),"")</f>
        <v>#REF!</v>
      </c>
      <c r="F44" s="125" t="e" cm="1">
        <f t="array" aca="1" ref="F44" ca="1">IF(ROWS($F$35:F43)&lt;=n_trusts_in_CA, INDEX(trust_data_quality!$E$2:$E$127,_xlfn.AGGREGATE(15,3,(trust_data_quality!$C$2:$C$127=selected_trust_xc_ca_name)/(trust_data_quality!$C$2:$C$127=selected_trust_xc_ca_name)*(ROW(trust_data_quality!$C$2:$C$127)-ROW(trust_data_quality!$C$1)),ROWS($F$35:F43))),"")</f>
        <v>#REF!</v>
      </c>
      <c r="G44" s="174" t="e" cm="1">
        <f t="array" aca="1" ref="G44" ca="1">IF(ROWS($G$35:G43)&lt;=n_trusts_in_CA, INDEX(trust_data_quality!$R$2:$R$127,_xlfn.AGGREGATE(15,3,(trust_data_quality!$C$2:$C$127=selected_trust_xc_ca_name)/(trust_data_quality!$C$2:$C$127=selected_trust_xc_ca_name)*(ROW(trust_data_quality!$C$2:$C$127)-ROW(trust_data_quality!$C$1)),ROWS($G$35:G43))),"")</f>
        <v>#REF!</v>
      </c>
      <c r="H44" s="49" t="e" cm="1">
        <f t="array" aca="1" ref="H44" ca="1">IF(ROWS($H$35:H43)&lt;=n_trusts_in_CA, INDEX(trust_data_quality!$S$2:$S$127,_xlfn.AGGREGATE(15,3,(trust_data_quality!$C$2:$C$127=selected_trust_xc_ca_name)/(trust_data_quality!$C$2:$C$127=selected_trust_xc_ca_name)*(ROW(trust_data_quality!$C$2:$C$127)-ROW(trust_data_quality!$C$1)),ROWS($H$35:H43))),"")</f>
        <v>#REF!</v>
      </c>
    </row>
    <row r="45" spans="4:9" x14ac:dyDescent="0.3">
      <c r="D45" s="33" t="e" cm="1">
        <f t="array" aca="1" ref="D45" ca="1">IF(ROWS($D$35:D44)&lt;=n_trusts_in_CA, INDEX(trust_data_quality!$A$2:$A$127,_xlfn.AGGREGATE(15,3,(trust_data_quality!$C$2:$C$127=selected_trust_xc_ca_name)/(trust_data_quality!$C$2:$C$127=selected_trust_xc_ca_name)*(ROW(trust_data_quality!$C$2:$C$127)-ROW(trust_data_quality!$C$1)),ROWS($D$35:D44))),"")</f>
        <v>#REF!</v>
      </c>
      <c r="F45" s="125" t="e" cm="1">
        <f t="array" aca="1" ref="F45" ca="1">IF(ROWS($F$35:F44)&lt;=n_trusts_in_CA, INDEX(trust_data_quality!$E$2:$E$127,_xlfn.AGGREGATE(15,3,(trust_data_quality!$C$2:$C$127=selected_trust_xc_ca_name)/(trust_data_quality!$C$2:$C$127=selected_trust_xc_ca_name)*(ROW(trust_data_quality!$C$2:$C$127)-ROW(trust_data_quality!$C$1)),ROWS($F$35:F44))),"")</f>
        <v>#REF!</v>
      </c>
      <c r="G45" s="174" t="e" cm="1">
        <f t="array" aca="1" ref="G45" ca="1">IF(ROWS($G$35:G44)&lt;=n_trusts_in_CA, INDEX(trust_data_quality!$R$2:$R$127,_xlfn.AGGREGATE(15,3,(trust_data_quality!$C$2:$C$127=selected_trust_xc_ca_name)/(trust_data_quality!$C$2:$C$127=selected_trust_xc_ca_name)*(ROW(trust_data_quality!$C$2:$C$127)-ROW(trust_data_quality!$C$1)),ROWS($G$35:G44))),"")</f>
        <v>#REF!</v>
      </c>
      <c r="H45" s="49" t="e" cm="1">
        <f t="array" aca="1" ref="H45" ca="1">IF(ROWS($H$35:H44)&lt;=n_trusts_in_CA, INDEX(trust_data_quality!$S$2:$S$127,_xlfn.AGGREGATE(15,3,(trust_data_quality!$C$2:$C$127=selected_trust_xc_ca_name)/(trust_data_quality!$C$2:$C$127=selected_trust_xc_ca_name)*(ROW(trust_data_quality!$C$2:$C$127)-ROW(trust_data_quality!$C$1)),ROWS($H$35:H44))),"")</f>
        <v>#REF!</v>
      </c>
    </row>
    <row r="46" spans="4:9" x14ac:dyDescent="0.3">
      <c r="D46" s="33" t="e" cm="1">
        <f t="array" aca="1" ref="D46" ca="1">IF(ROWS($D$35:D45)&lt;=n_trusts_in_CA, INDEX(trust_data_quality!$A$2:$A$127,_xlfn.AGGREGATE(15,3,(trust_data_quality!$C$2:$C$127=selected_trust_xc_ca_name)/(trust_data_quality!$C$2:$C$127=selected_trust_xc_ca_name)*(ROW(trust_data_quality!$C$2:$C$127)-ROW(trust_data_quality!$C$1)),ROWS($D$35:D45))),"")</f>
        <v>#REF!</v>
      </c>
      <c r="F46" s="125" t="e" cm="1">
        <f t="array" aca="1" ref="F46" ca="1">IF(ROWS($F$35:F45)&lt;=n_trusts_in_CA, INDEX(trust_data_quality!$E$2:$E$127,_xlfn.AGGREGATE(15,3,(trust_data_quality!$C$2:$C$127=selected_trust_xc_ca_name)/(trust_data_quality!$C$2:$C$127=selected_trust_xc_ca_name)*(ROW(trust_data_quality!$C$2:$C$127)-ROW(trust_data_quality!$C$1)),ROWS($F$35:F45))),"")</f>
        <v>#REF!</v>
      </c>
      <c r="G46" s="174" t="e" cm="1">
        <f t="array" aca="1" ref="G46" ca="1">IF(ROWS($G$35:G45)&lt;=n_trusts_in_CA, INDEX(trust_data_quality!$R$2:$R$127,_xlfn.AGGREGATE(15,3,(trust_data_quality!$C$2:$C$127=selected_trust_xc_ca_name)/(trust_data_quality!$C$2:$C$127=selected_trust_xc_ca_name)*(ROW(trust_data_quality!$C$2:$C$127)-ROW(trust_data_quality!$C$1)),ROWS($G$35:G45))),"")</f>
        <v>#REF!</v>
      </c>
      <c r="H46" s="49" t="e" cm="1">
        <f t="array" aca="1" ref="H46" ca="1">IF(ROWS($H$35:H45)&lt;=n_trusts_in_CA, INDEX(trust_data_quality!$S$2:$S$127,_xlfn.AGGREGATE(15,3,(trust_data_quality!$C$2:$C$127=selected_trust_xc_ca_name)/(trust_data_quality!$C$2:$C$127=selected_trust_xc_ca_name)*(ROW(trust_data_quality!$C$2:$C$127)-ROW(trust_data_quality!$C$1)),ROWS($H$35:H45))),"")</f>
        <v>#REF!</v>
      </c>
    </row>
    <row r="47" spans="4:9" x14ac:dyDescent="0.3">
      <c r="D47" s="35" t="e" cm="1">
        <f t="array" aca="1" ref="D47" ca="1">IF(ROWS($D$35:D46)&lt;=n_trusts_in_CA, INDEX(trust_data_quality!$A$2:$A$127,_xlfn.AGGREGATE(15,3,(trust_data_quality!$C$2:$C$127=selected_trust_xc_ca_name)/(trust_data_quality!$C$2:$C$127=selected_trust_xc_ca_name)*(ROW(trust_data_quality!$C$2:$C$127)-ROW(trust_data_quality!$C$1)),ROWS($D$35:D46))),"")</f>
        <v>#REF!</v>
      </c>
      <c r="E47" s="8"/>
      <c r="F47" s="126" t="e" cm="1">
        <f t="array" aca="1" ref="F47" ca="1">IF(ROWS($F$35:F46)&lt;=n_trusts_in_CA, INDEX(trust_data_quality!$E$2:$E$127,_xlfn.AGGREGATE(15,3,(trust_data_quality!$C$2:$C$127=selected_trust_xc_ca_name)/(trust_data_quality!$C$2:$C$127=selected_trust_xc_ca_name)*(ROW(trust_data_quality!$C$2:$C$127)-ROW(trust_data_quality!$C$1)),ROWS($F$35:F46))),"")</f>
        <v>#REF!</v>
      </c>
      <c r="G47" s="175" t="e" cm="1">
        <f t="array" aca="1" ref="G47" ca="1">IF(ROWS($G$35:G46)&lt;=n_trusts_in_CA, INDEX(trust_data_quality!$R$2:$R$127,_xlfn.AGGREGATE(15,3,(trust_data_quality!$C$2:$C$127=selected_trust_xc_ca_name)/(trust_data_quality!$C$2:$C$127=selected_trust_xc_ca_name)*(ROW(trust_data_quality!$C$2:$C$127)-ROW(trust_data_quality!$C$1)),ROWS($G$35:G46))),"")</f>
        <v>#REF!</v>
      </c>
      <c r="H47" s="122" t="e" cm="1">
        <f t="array" aca="1" ref="H47" ca="1">IF(ROWS($H$35:H46)&lt;=n_trusts_in_CA, INDEX(trust_data_quality!$S$2:$S$127,_xlfn.AGGREGATE(15,3,(trust_data_quality!$C$2:$C$127=selected_trust_xc_ca_name)/(trust_data_quality!$C$2:$C$127=selected_trust_xc_ca_name)*(ROW(trust_data_quality!$C$2:$C$127)-ROW(trust_data_quality!$C$1)),ROWS($H$35:H46))),"")</f>
        <v>#REF!</v>
      </c>
    </row>
    <row r="48" spans="4:9" x14ac:dyDescent="0.3">
      <c r="G48" s="51"/>
    </row>
    <row r="49" spans="4:7" x14ac:dyDescent="0.3">
      <c r="D49" s="4"/>
      <c r="G49" s="51"/>
    </row>
    <row r="50" spans="4:7" x14ac:dyDescent="0.3">
      <c r="D50" s="4"/>
      <c r="G50" s="51"/>
    </row>
    <row r="51" spans="4:7" x14ac:dyDescent="0.3">
      <c r="D51" s="4"/>
      <c r="G51" s="51"/>
    </row>
    <row r="52" spans="4:7" x14ac:dyDescent="0.3">
      <c r="D52" s="4"/>
      <c r="G52" s="51"/>
    </row>
    <row r="53" spans="4:7" x14ac:dyDescent="0.3">
      <c r="D53" s="4"/>
      <c r="G53" s="51"/>
    </row>
    <row r="54" spans="4:7" x14ac:dyDescent="0.3">
      <c r="D54" s="4"/>
      <c r="G54" s="51"/>
    </row>
    <row r="55" spans="4:7" x14ac:dyDescent="0.3">
      <c r="G55" s="51"/>
    </row>
    <row r="56" spans="4:7" x14ac:dyDescent="0.3">
      <c r="G56" s="51"/>
    </row>
    <row r="57" spans="4:7" x14ac:dyDescent="0.3">
      <c r="D57" s="4"/>
      <c r="G57" s="51"/>
    </row>
    <row r="58" spans="4:7" x14ac:dyDescent="0.3">
      <c r="D58" s="4"/>
      <c r="G58" s="51"/>
    </row>
    <row r="59" spans="4:7" x14ac:dyDescent="0.3">
      <c r="D59" s="4"/>
      <c r="G59" s="51"/>
    </row>
    <row r="60" spans="4:7" x14ac:dyDescent="0.3">
      <c r="D60" s="4"/>
      <c r="G60" s="51"/>
    </row>
    <row r="61" spans="4:7" x14ac:dyDescent="0.3">
      <c r="D61" s="4"/>
      <c r="G61" s="51"/>
    </row>
    <row r="62" spans="4:7" x14ac:dyDescent="0.3">
      <c r="D62" s="4"/>
      <c r="G62" s="51"/>
    </row>
    <row r="63" spans="4:7" x14ac:dyDescent="0.3">
      <c r="D63" s="4"/>
      <c r="G63" s="51"/>
    </row>
    <row r="64" spans="4:7" x14ac:dyDescent="0.3">
      <c r="D64" s="4"/>
      <c r="G64" s="51"/>
    </row>
    <row r="65" spans="4:7" x14ac:dyDescent="0.3">
      <c r="D65" s="4"/>
      <c r="G65" s="51"/>
    </row>
    <row r="66" spans="4:7" x14ac:dyDescent="0.3">
      <c r="D66" s="4"/>
      <c r="G66" s="51"/>
    </row>
    <row r="67" spans="4:7" x14ac:dyDescent="0.3">
      <c r="D67" s="4"/>
      <c r="G67" s="51"/>
    </row>
    <row r="68" spans="4:7" x14ac:dyDescent="0.3">
      <c r="D68" s="4"/>
      <c r="G68" s="51"/>
    </row>
    <row r="69" spans="4:7" x14ac:dyDescent="0.3">
      <c r="D69" s="4"/>
      <c r="G69" s="51"/>
    </row>
    <row r="70" spans="4:7" x14ac:dyDescent="0.3">
      <c r="D70" s="4"/>
      <c r="G70" s="51"/>
    </row>
    <row r="71" spans="4:7" x14ac:dyDescent="0.3">
      <c r="D71" s="4"/>
      <c r="G71" s="51"/>
    </row>
    <row r="72" spans="4:7" x14ac:dyDescent="0.3">
      <c r="D72" s="4"/>
      <c r="G72" s="51"/>
    </row>
    <row r="73" spans="4:7" x14ac:dyDescent="0.3">
      <c r="D73" s="4"/>
      <c r="G73" s="51"/>
    </row>
    <row r="74" spans="4:7" x14ac:dyDescent="0.3">
      <c r="D74" s="4"/>
      <c r="G74" s="51"/>
    </row>
    <row r="75" spans="4:7" x14ac:dyDescent="0.3">
      <c r="D75" s="4"/>
      <c r="G75" s="51"/>
    </row>
    <row r="76" spans="4:7" x14ac:dyDescent="0.3">
      <c r="D76" s="4"/>
      <c r="G76" s="51"/>
    </row>
    <row r="77" spans="4:7" x14ac:dyDescent="0.3">
      <c r="D77" s="4"/>
      <c r="G77" s="51"/>
    </row>
    <row r="78" spans="4:7" x14ac:dyDescent="0.3">
      <c r="D78" s="4"/>
      <c r="G78" s="51"/>
    </row>
    <row r="79" spans="4:7" x14ac:dyDescent="0.3">
      <c r="D79" s="4"/>
      <c r="G79" s="51"/>
    </row>
    <row r="80" spans="4:7" x14ac:dyDescent="0.3">
      <c r="D80" s="4"/>
      <c r="G80" s="51"/>
    </row>
    <row r="81" spans="4:7" x14ac:dyDescent="0.3">
      <c r="D81" s="4"/>
      <c r="G81" s="51"/>
    </row>
    <row r="82" spans="4:7" x14ac:dyDescent="0.3">
      <c r="D82" s="4"/>
      <c r="G82" s="51"/>
    </row>
    <row r="83" spans="4:7" x14ac:dyDescent="0.3">
      <c r="D83" s="4"/>
      <c r="G83" s="51"/>
    </row>
    <row r="84" spans="4:7" x14ac:dyDescent="0.3">
      <c r="D84" s="4"/>
      <c r="G84" s="51"/>
    </row>
    <row r="85" spans="4:7" x14ac:dyDescent="0.3">
      <c r="D85" s="4"/>
      <c r="G85" s="51"/>
    </row>
    <row r="86" spans="4:7" x14ac:dyDescent="0.3">
      <c r="D86" s="4"/>
      <c r="G86" s="51"/>
    </row>
    <row r="95" spans="4:7" ht="15" customHeight="1" x14ac:dyDescent="0.3"/>
    <row r="116" spans="17:17" x14ac:dyDescent="0.3">
      <c r="Q116" s="1"/>
    </row>
  </sheetData>
  <mergeCells count="13">
    <mergeCell ref="K4:O5"/>
    <mergeCell ref="K7:O8"/>
    <mergeCell ref="F34:F35"/>
    <mergeCell ref="D34:D35"/>
    <mergeCell ref="J21:O22"/>
    <mergeCell ref="C17:G18"/>
    <mergeCell ref="H34:H35"/>
    <mergeCell ref="H23:H25"/>
    <mergeCell ref="D15:G15"/>
    <mergeCell ref="D9:G9"/>
    <mergeCell ref="C21:H22"/>
    <mergeCell ref="C31:H32"/>
    <mergeCell ref="F23:F25"/>
  </mergeCells>
  <conditionalFormatting sqref="G26:G28">
    <cfRule type="expression" dxfId="8" priority="2">
      <formula>$K$16="NA"</formula>
    </cfRule>
    <cfRule type="cellIs" dxfId="7" priority="12" operator="equal">
      <formula>$K$16</formula>
    </cfRule>
    <cfRule type="iconSet" priority="13">
      <iconSet iconSet="3Symbols2">
        <cfvo type="percent" val="0"/>
        <cfvo type="formula" val="$K$16"/>
        <cfvo type="num" val="$K$16" gte="0"/>
      </iconSet>
    </cfRule>
    <cfRule type="cellIs" dxfId="6" priority="28" operator="lessThan">
      <formula>$K$16</formula>
    </cfRule>
    <cfRule type="cellIs" dxfId="5" priority="30" operator="greaterThan">
      <formula>$K$16</formula>
    </cfRule>
  </conditionalFormatting>
  <conditionalFormatting sqref="G36:G47">
    <cfRule type="expression" dxfId="4" priority="1">
      <formula>$K$16="NA"</formula>
    </cfRule>
    <cfRule type="iconSet" priority="6">
      <iconSet iconSet="3Symbols2">
        <cfvo type="percent" val="0"/>
        <cfvo type="formula" val="$K$16"/>
        <cfvo type="num" val="$K$16" gte="0"/>
      </iconSet>
    </cfRule>
    <cfRule type="cellIs" dxfId="3" priority="7" operator="equal">
      <formula>""</formula>
    </cfRule>
    <cfRule type="cellIs" dxfId="2" priority="8" operator="equal">
      <formula>$K$16</formula>
    </cfRule>
    <cfRule type="cellIs" dxfId="1" priority="9" operator="lessThan">
      <formula>$K$16</formula>
    </cfRule>
    <cfRule type="cellIs" dxfId="0" priority="10" operator="greaterThan">
      <formula>$K$16</formula>
    </cfRule>
  </conditionalFormatting>
  <pageMargins left="0.70866141732283472" right="0.70866141732283472" top="0.74803149606299213" bottom="0.74803149606299213" header="0.31496062992125984" footer="0.31496062992125984"/>
  <pageSetup paperSize="9" scale="4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2000000}">
          <x14:formula1>
            <xm:f>Lists!$A$11:$A$22</xm:f>
          </x14:formula1>
          <xm:sqref>D15</xm:sqref>
        </x14:dataValidation>
        <x14:dataValidation type="list" allowBlank="1" showInputMessage="1" showErrorMessage="1" xr:uid="{BE102F34-FE81-4FF3-BC99-DB2BCB70DE8E}">
          <x14:formula1>
            <xm:f>Lists!$A$66:$A$184</xm:f>
          </x14:formula1>
          <xm:sqref>D9</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5918B-3DC7-4405-91AB-D247D0674766}">
  <sheetPr>
    <pageSetUpPr fitToPage="1"/>
  </sheetPr>
  <dimension ref="C5:P52"/>
  <sheetViews>
    <sheetView showGridLines="0" topLeftCell="A10" zoomScale="80" zoomScaleNormal="80" workbookViewId="0">
      <selection activeCell="K34" sqref="K34"/>
    </sheetView>
  </sheetViews>
  <sheetFormatPr defaultRowHeight="14.4" x14ac:dyDescent="0.3"/>
  <cols>
    <col min="1" max="1" width="3.88671875" customWidth="1"/>
    <col min="2" max="2" width="3" customWidth="1"/>
    <col min="3" max="3" width="3.5546875" customWidth="1"/>
    <col min="4" max="4" width="30" customWidth="1"/>
    <col min="5" max="5" width="20.44140625" customWidth="1"/>
    <col min="6" max="6" width="20.109375" bestFit="1" customWidth="1"/>
    <col min="7" max="7" width="18.109375" bestFit="1" customWidth="1"/>
    <col min="8" max="8" width="19.109375" bestFit="1" customWidth="1"/>
    <col min="9" max="9" width="7.5546875" customWidth="1"/>
    <col min="10" max="10" width="4" customWidth="1"/>
    <col min="11" max="11" width="50.109375" customWidth="1"/>
    <col min="12" max="12" width="17.44140625" bestFit="1" customWidth="1"/>
    <col min="13" max="13" width="16.5546875" customWidth="1"/>
    <col min="14" max="14" width="23.6640625" customWidth="1"/>
    <col min="15" max="15" width="19.33203125" bestFit="1" customWidth="1"/>
    <col min="16" max="16" width="18.109375" bestFit="1" customWidth="1"/>
    <col min="17" max="17" width="19.33203125" bestFit="1" customWidth="1"/>
  </cols>
  <sheetData>
    <row r="5" spans="3:10" ht="15.75" customHeight="1" x14ac:dyDescent="0.3">
      <c r="G5" s="93"/>
    </row>
    <row r="7" spans="3:10" x14ac:dyDescent="0.3">
      <c r="C7" s="1" t="s">
        <v>14</v>
      </c>
      <c r="F7" s="2"/>
    </row>
    <row r="8" spans="3:10" ht="15" customHeight="1" thickBot="1" x14ac:dyDescent="0.35">
      <c r="F8" s="2"/>
    </row>
    <row r="9" spans="3:10" ht="15" customHeight="1" thickBot="1" x14ac:dyDescent="0.35">
      <c r="D9" s="271" t="s">
        <v>29</v>
      </c>
      <c r="E9" s="272"/>
      <c r="F9" s="272"/>
      <c r="G9" s="273"/>
    </row>
    <row r="11" spans="3:10" ht="15" customHeight="1" x14ac:dyDescent="0.3">
      <c r="C11" s="12" t="e">
        <f ca="1">"This selected Trust is within the "&amp;selected_trust_ptc_ca_name&amp;" Cancer Alliance"</f>
        <v>#REF!</v>
      </c>
    </row>
    <row r="12" spans="3:10" x14ac:dyDescent="0.3">
      <c r="F12" s="2"/>
    </row>
    <row r="13" spans="3:10" ht="15" customHeight="1" x14ac:dyDescent="0.3">
      <c r="C13" s="137" t="str">
        <f>"Table 3:  Characteristics of patients diagnosed with lung cancer in England between "&amp;start_date_england&amp;" and "&amp;end_date_england</f>
        <v>Table 3:  Characteristics of patients diagnosed with lung cancer in England between 1st April 2021 and 31st March 2024</v>
      </c>
      <c r="D13" s="137"/>
      <c r="E13" s="137"/>
      <c r="F13" s="137"/>
      <c r="G13" s="137"/>
      <c r="H13" s="137"/>
      <c r="I13" s="2"/>
    </row>
    <row r="14" spans="3:10" x14ac:dyDescent="0.3">
      <c r="I14" s="2"/>
      <c r="J14" t="s">
        <v>32</v>
      </c>
    </row>
    <row r="15" spans="3:10" ht="15" customHeight="1" x14ac:dyDescent="0.3">
      <c r="D15" s="276" t="s">
        <v>33</v>
      </c>
      <c r="E15" s="31" t="s">
        <v>34</v>
      </c>
      <c r="F15" s="31" t="s">
        <v>35</v>
      </c>
      <c r="G15" s="36" t="s">
        <v>36</v>
      </c>
    </row>
    <row r="16" spans="3:10" ht="30" customHeight="1" x14ac:dyDescent="0.3">
      <c r="D16" s="277"/>
      <c r="E16" s="32" t="s">
        <v>37</v>
      </c>
      <c r="F16" s="32" t="s">
        <v>37</v>
      </c>
      <c r="G16" s="46" t="s">
        <v>37</v>
      </c>
    </row>
    <row r="17" spans="4:7" x14ac:dyDescent="0.3">
      <c r="D17" s="39" t="s">
        <v>38</v>
      </c>
      <c r="G17" s="34"/>
    </row>
    <row r="18" spans="4:7" x14ac:dyDescent="0.3">
      <c r="D18" s="40" t="s">
        <v>39</v>
      </c>
      <c r="E18" s="23" t="str">
        <f ca="1">TEXT(INDEX(INDIRECT(trust_ptc_table),MATCH(selected_trust_ptc,INDIRECT(trust_ptc_rows),0),MATCH("never",INDIRECT(trust_ptc_cols),0)),"#,###")&amp;" ("&amp;ROUND(INDEX(INDIRECT(trust_ptc_table),MATCH(selected_trust_ptc,INDIRECT(trust_ptc_rows),0),MATCH("p_never",INDIRECT(trust_ptc_cols),0)),1)&amp;")"</f>
        <v>5 (5.2)</v>
      </c>
      <c r="F18" s="23" t="e">
        <f ca="1">TEXT(INDEX(INDIRECT(aliance_ptc_table),MATCH(selected_trust_ptc_ca_name,INDIRECT(aliance_ptc_rows),0),MATCH("never",INDIRECT(aliance_ptc_cols),0)),"#,###")&amp;" ("&amp;ROUND(INDEX(INDIRECT(aliance_ptc_table),MATCH(selected_trust_ptc_ca_name,INDIRECT(aliance_ptc_rows),0),MATCH("p_never",INDIRECT(aliance_ptc_cols),0)),1)&amp;")"</f>
        <v>#REF!</v>
      </c>
      <c r="G18" s="41" t="str">
        <f ca="1">TEXT(INDEX(INDIRECT(national_ptc_row),1,MATCH("never",INDIRECT(national_ptc_cols),0)),"#,###")&amp;" ("&amp;ROUND(INDEX(INDIRECT(national_ptc_row),1,MATCH("p_never",INDIRECT(national_ptc_cols),0)),1)&amp;")"</f>
        <v>1,476 (8.7)</v>
      </c>
    </row>
    <row r="19" spans="4:7" x14ac:dyDescent="0.3">
      <c r="D19" s="40" t="s">
        <v>40</v>
      </c>
      <c r="E19" s="23" t="str">
        <f ca="1">TEXT(INDEX(INDIRECT(trust_ptc_table),MATCH(selected_trust_ptc,INDIRECT(trust_ptc_rows),0),MATCH("current_ex",INDIRECT(trust_ptc_cols),0)),"#,###")&amp;" ("&amp;ROUND(INDEX(INDIRECT(trust_ptc_table),MATCH(selected_trust_ptc,INDIRECT(trust_ptc_rows),0),MATCH("p_current_ex",INDIRECT(trust_ptc_cols),0)),1)&amp;")"</f>
        <v>91 (94.8)</v>
      </c>
      <c r="F19" s="23" t="e">
        <f ca="1">TEXT(INDEX(INDIRECT(aliance_ptc_table),MATCH(selected_trust_ptc_ca_name,INDIRECT(aliance_ptc_rows),0),MATCH("current_ex",INDIRECT(aliance_ptc_cols),0)),"#,###")&amp;" ("&amp;ROUND(INDEX(INDIRECT(aliance_ptc_table),MATCH(selected_trust_ptc_ca_name,INDIRECT(aliance_ptc_rows),0),MATCH("p_current_ex",INDIRECT(aliance_ptc_cols),0)),1)&amp;")"</f>
        <v>#REF!</v>
      </c>
      <c r="G19" s="42" t="str">
        <f ca="1">TEXT(INDEX(INDIRECT(national_ptc_row),1,MATCH("current_ex",INDIRECT(national_ptc_cols),0)),"#,###")&amp;" ("&amp;ROUND(INDEX(INDIRECT(national_ptc_row),1,MATCH("p_current_ex",INDIRECT(national_ptc_cols),0)),1)&amp;")"</f>
        <v>15,529 (91.3)</v>
      </c>
    </row>
    <row r="20" spans="4:7" x14ac:dyDescent="0.3">
      <c r="D20" s="43" t="s">
        <v>41</v>
      </c>
      <c r="E20" s="26" t="str">
        <f ca="1">TEXT(INDEX(INDIRECT(trust_ptc_table),MATCH(selected_trust_ptc,INDIRECT(trust_ptc_rows),0),MATCH("smok_unknown",INDIRECT(trust_ptc_cols),0)),"#,###")</f>
        <v>33</v>
      </c>
      <c r="F20" s="26" t="e">
        <f ca="1">TEXT(INDEX(aliance_patient_chars!$A$2:$BF$22,MATCH(selected_trust_ptc_ca_name,INDIRECT(aliance_ptc_rows),0),MATCH("smok_unknown",INDIRECT(aliance_ptc_cols),0)),"#,###")</f>
        <v>#REF!</v>
      </c>
      <c r="G20" s="44" t="str">
        <f ca="1">TEXT(INDEX(INDIRECT(national_ptc_row),1,MATCH("smok_unknown",INDIRECT(national_ptc_cols),0)),"#,###")</f>
        <v>17,473</v>
      </c>
    </row>
    <row r="21" spans="4:7" x14ac:dyDescent="0.3">
      <c r="D21" s="39" t="s">
        <v>42</v>
      </c>
      <c r="E21" s="23"/>
      <c r="F21" s="23"/>
      <c r="G21" s="45"/>
    </row>
    <row r="22" spans="4:7" x14ac:dyDescent="0.3">
      <c r="D22" s="40" t="s">
        <v>43</v>
      </c>
      <c r="E22" s="23" t="str">
        <f ca="1">TEXT(INDEX(INDIRECT(trust_ptc_table),MATCH(selected_trust_ptc,INDIRECT(trust_ptc_rows),0),MATCH("white",INDIRECT(trust_ptc_cols),0)),"#,###")&amp;" ("&amp;ROUND(INDEX(INDIRECT(trust_ptc_table),MATCH(selected_trust_ptc,INDIRECT(trust_ptc_rows),0),MATCH("p_white",INDIRECT(trust_ptc_cols),0)),1)&amp;")"</f>
        <v>112 (88.9)</v>
      </c>
      <c r="F22" s="23" t="e">
        <f ca="1">TEXT(INDEX(INDIRECT(aliance_ptc_table),MATCH(selected_trust_ptc_ca_name,INDIRECT(aliance_ptc_rows),0),MATCH("white",INDIRECT(aliance_ptc_cols),0)),"#,###")&amp;" ("&amp;ROUND(INDEX(INDIRECT(aliance_ptc_table),MATCH(selected_trust_ptc_ca_name,INDIRECT(aliance_ptc_rows),0),MATCH("p_white",INDIRECT(aliance_ptc_cols),0)),1)&amp;")"</f>
        <v>#REF!</v>
      </c>
      <c r="G22" s="45" t="str">
        <f ca="1">TEXT(INDEX(INDIRECT(national_ptc_row),1,MATCH("white",INDIRECT(national_ptc_cols),0)),"#,###")&amp;" ("&amp;ROUND(INDEX(INDIRECT(national_ptc_row),1,MATCH("p_white",INDIRECT(national_ptc_cols),0)),1)&amp;")"</f>
        <v>29,938 (89.6)</v>
      </c>
    </row>
    <row r="23" spans="4:7" x14ac:dyDescent="0.3">
      <c r="D23" s="40" t="s">
        <v>44</v>
      </c>
      <c r="E23" s="23" t="str">
        <f ca="1">TEXT(INDEX(INDIRECT(trust_ptc_table),MATCH(selected_trust_ptc,INDIRECT(trust_ptc_rows),0),MATCH("mixed",INDIRECT(trust_ptc_cols),0)),"#,###")&amp;" ("&amp;ROUND(INDEX(INDIRECT(trust_ptc_table),MATCH(selected_trust_ptc,INDIRECT(trust_ptc_rows),0),MATCH("p_mixed",INDIRECT(trust_ptc_cols),0)),1)&amp;")"</f>
        <v>3 (2.4)</v>
      </c>
      <c r="F23" s="23" t="e">
        <f ca="1">TEXT(INDEX(INDIRECT(aliance_ptc_table),MATCH(selected_trust_ptc_ca_name,INDIRECT(aliance_ptc_rows),0),MATCH("mixed",INDIRECT(aliance_ptc_cols),0)),"#,###")&amp;" ("&amp;ROUND(INDEX(INDIRECT(aliance_ptc_table),MATCH(selected_trust_ptc_ca_name,INDIRECT(aliance_ptc_rows),0),MATCH("p_mixed",INDIRECT(aliance_ptc_cols),0)),1)&amp;")"</f>
        <v>#REF!</v>
      </c>
      <c r="G23" s="45" t="str">
        <f ca="1">TEXT(INDEX(INDIRECT(national_ptc_row),1,MATCH("mixed",INDIRECT(national_ptc_cols),0)),"#,###")&amp;" ("&amp;ROUND(INDEX(INDIRECT(national_ptc_row),1,MATCH("p_mixed",INDIRECT(national_ptc_cols),0)),1)&amp;")"</f>
        <v>801 (2.4)</v>
      </c>
    </row>
    <row r="24" spans="4:7" x14ac:dyDescent="0.3">
      <c r="D24" s="40" t="s">
        <v>45</v>
      </c>
      <c r="E24" s="23" t="str">
        <f ca="1">TEXT(INDEX(INDIRECT(trust_ptc_table),MATCH(selected_trust_ptc,INDIRECT(trust_ptc_rows),0),MATCH("asian",INDIRECT(trust_ptc_cols),0)),"#,###")&amp;" ("&amp;ROUND(INDEX(INDIRECT(trust_ptc_table),MATCH(selected_trust_ptc,INDIRECT(trust_ptc_rows),0),MATCH("p_asian",INDIRECT(trust_ptc_cols),0)),1)&amp;")"</f>
        <v>7 (5.6)</v>
      </c>
      <c r="F24" s="23" t="e">
        <f ca="1">TEXT(INDEX(INDIRECT(aliance_ptc_table),MATCH(selected_trust_ptc_ca_name,INDIRECT(aliance_ptc_rows),0),MATCH("asian",INDIRECT(aliance_ptc_cols),0)),"#,###")&amp;" ("&amp;ROUND(INDEX(INDIRECT(aliance_ptc_table),MATCH(selected_trust_ptc_ca_name,INDIRECT(aliance_ptc_rows),0),MATCH("p_asian",INDIRECT(aliance_ptc_cols),0)),1)&amp;")"</f>
        <v>#REF!</v>
      </c>
      <c r="G24" s="45" t="str">
        <f ca="1">TEXT(INDEX(INDIRECT(national_ptc_row),1,MATCH("asian",INDIRECT(national_ptc_cols),0)),"#,###")&amp;" ("&amp;ROUND(INDEX(INDIRECT(national_ptc_row),1,MATCH("p_asian",INDIRECT(national_ptc_cols),0)),1)&amp;")"</f>
        <v>1,047 (3.1)</v>
      </c>
    </row>
    <row r="25" spans="4:7" x14ac:dyDescent="0.3">
      <c r="D25" s="40" t="s">
        <v>46</v>
      </c>
      <c r="E25" s="23" t="str">
        <f ca="1">TEXT(INDEX(INDIRECT(trust_ptc_table),MATCH(selected_trust_ptc,INDIRECT(trust_ptc_rows),0),MATCH("black",INDIRECT(trust_ptc_cols),0)),"#,###")&amp;" ("&amp;ROUND(INDEX(INDIRECT(trust_ptc_table),MATCH(selected_trust_ptc,INDIRECT(trust_ptc_rows),0),MATCH("p_black",INDIRECT(trust_ptc_cols),0)),1)&amp;")"</f>
        <v xml:space="preserve"> (0)</v>
      </c>
      <c r="F25" s="23" t="e">
        <f ca="1">TEXT(INDEX(INDIRECT(aliance_ptc_table),MATCH(selected_trust_ptc_ca_name,INDIRECT(aliance_ptc_rows),0),MATCH("black",INDIRECT(aliance_ptc_cols),0)),"#,###")&amp;" ("&amp;ROUND(INDEX(INDIRECT(aliance_ptc_table),MATCH(selected_trust_ptc_ca_name,INDIRECT(aliance_ptc_rows),0),MATCH("p_black",INDIRECT(aliance_ptc_cols),0)),1)&amp;")"</f>
        <v>#REF!</v>
      </c>
      <c r="G25" s="45" t="str">
        <f ca="1">TEXT(INDEX(INDIRECT(national_ptc_row),1,MATCH("black",INDIRECT(national_ptc_cols),0)),"#,###")&amp;" ("&amp;ROUND(INDEX(INDIRECT(national_ptc_row),1,MATCH("p_black",INDIRECT(national_ptc_cols),0)),1)&amp;")"</f>
        <v>822 (2.5)</v>
      </c>
    </row>
    <row r="26" spans="4:7" x14ac:dyDescent="0.3">
      <c r="D26" s="40" t="s">
        <v>47</v>
      </c>
      <c r="E26" s="23" t="str">
        <f ca="1">TEXT(INDEX(INDIRECT(trust_ptc_table),MATCH(selected_trust_ptc,INDIRECT(trust_ptc_rows),0),MATCH("other",INDIRECT(trust_ptc_cols),0)),"#,###")&amp;" ("&amp;ROUND(INDEX(INDIRECT(trust_ptc_table),MATCH(selected_trust_ptc,INDIRECT(trust_ptc_rows),0),MATCH("p_other",INDIRECT(trust_ptc_cols),0)),1)&amp;")"</f>
        <v>4 (3.2)</v>
      </c>
      <c r="F26" s="23" t="e">
        <f ca="1">TEXT(INDEX(INDIRECT(aliance_ptc_table),MATCH(selected_trust_ptc_ca_name,INDIRECT(aliance_ptc_rows),0),MATCH("other",INDIRECT(aliance_ptc_cols),0)),"#,###")&amp;" ("&amp;ROUND(INDEX(INDIRECT(aliance_ptc_table),MATCH(selected_trust_ptc_ca_name,INDIRECT(aliance_ptc_rows),0),MATCH("p_other",INDIRECT(aliance_ptc_cols),0)),1)&amp;")"</f>
        <v>#REF!</v>
      </c>
      <c r="G26" s="45" t="str">
        <f ca="1">TEXT(INDEX(INDIRECT(national_ptc_row),1,MATCH("other",INDIRECT(national_ptc_cols),0)),"#,###")&amp;" ("&amp;ROUND(INDEX(INDIRECT(national_ptc_row),1,MATCH("p_other",INDIRECT(national_ptc_cols),0)),1)&amp;")"</f>
        <v>808 (2.4)</v>
      </c>
    </row>
    <row r="27" spans="4:7" x14ac:dyDescent="0.3">
      <c r="D27" s="43" t="s">
        <v>41</v>
      </c>
      <c r="E27" s="26" t="str">
        <f ca="1">TEXT(INDEX(INDIRECT(trust_ptc_table),MATCH(selected_trust_ptc,INDIRECT(trust_ptc_rows),0),MATCH("ethc_unknown",INDIRECT(trust_ptc_cols),0)),"#,###")</f>
        <v>3</v>
      </c>
      <c r="F27" s="26" t="e">
        <f ca="1">TEXT(INDEX(INDIRECT(aliance_ptc_table),MATCH(selected_trust_ptc_ca_name,INDIRECT(aliance_ptc_rows),0),MATCH("ethc_unknown",INDIRECT(aliance_ptc_cols),0)),"#,###")</f>
        <v>#REF!</v>
      </c>
      <c r="G27" s="44" t="str">
        <f ca="1">TEXT(INDEX(INDIRECT(national_ptc_row),1,MATCH("ethc_unknown",INDIRECT(national_ptc_cols),0)),"#,###")</f>
        <v>1,062</v>
      </c>
    </row>
    <row r="28" spans="4:7" x14ac:dyDescent="0.3">
      <c r="D28" s="39" t="s">
        <v>48</v>
      </c>
      <c r="E28" s="23"/>
      <c r="F28" s="23"/>
      <c r="G28" s="45"/>
    </row>
    <row r="29" spans="4:7" x14ac:dyDescent="0.3">
      <c r="D29" s="40" t="s">
        <v>49</v>
      </c>
      <c r="E29" s="23" t="str">
        <f ca="1">TEXT(INDEX(INDIRECT(trust_ptc_table),MATCH(selected_trust_ptc,INDIRECT(trust_ptc_rows),0),MATCH("imdleast",INDIRECT(trust_ptc_cols),0)),"#,###")&amp;" ("&amp;ROUND(INDEX(INDIRECT(trust_ptc_table),MATCH(selected_trust_ptc,INDIRECT(trust_ptc_rows),0),MATCH("p_imdleast",INDIRECT(trust_ptc_cols),0)),1)&amp;")"</f>
        <v>24 (18.6)</v>
      </c>
      <c r="F29" s="23" t="e">
        <f ca="1">TEXT(INDEX(INDIRECT(aliance_ptc_table),MATCH(selected_trust_ptc_ca_name,INDIRECT(aliance_ptc_rows),0),MATCH("imdleast",INDIRECT(aliance_ptc_cols),0)),"#,###")&amp;" ("&amp;ROUND(INDEX(INDIRECT(aliance_ptc_table),MATCH(selected_trust_ptc_ca_name,INDIRECT(aliance_ptc_rows),0),MATCH("p_imdleast",INDIRECT(aliance_ptc_cols),0)),1)&amp;")"</f>
        <v>#REF!</v>
      </c>
      <c r="G29" s="45" t="str">
        <f ca="1">TEXT(INDEX(INDIRECT(national_ptc_row),1,MATCH("imdleast",INDIRECT(national_ptc_cols),0)),"#,###")&amp;" ("&amp;ROUND(INDEX(INDIRECT(national_ptc_row),1,MATCH("p_imdleast",INDIRECT(national_ptc_cols),0)),1)&amp;")"</f>
        <v>9,055 (26.3)</v>
      </c>
    </row>
    <row r="30" spans="4:7" x14ac:dyDescent="0.3">
      <c r="D30" s="40">
        <v>2</v>
      </c>
      <c r="E30" s="23" t="str">
        <f ca="1">TEXT(INDEX(INDIRECT(trust_ptc_table),MATCH(selected_trust_ptc,INDIRECT(trust_ptc_rows),0),MATCH("imd2",INDIRECT(trust_ptc_cols),0)),"#,###")&amp;" ("&amp;ROUND(INDEX(INDIRECT(trust_ptc_table),MATCH(selected_trust_ptc,INDIRECT(trust_ptc_rows),0),MATCH("p_imd2",INDIRECT(trust_ptc_cols),0)),1)&amp;")"</f>
        <v>19 (14.7)</v>
      </c>
      <c r="F30" s="23" t="e">
        <f ca="1">TEXT(INDEX(INDIRECT(aliance_ptc_table),MATCH(selected_trust_ptc_ca_name,INDIRECT(aliance_ptc_rows),0),MATCH("imd2",INDIRECT(aliance_ptc_cols),0)),"#,###")&amp;" ("&amp;ROUND(INDEX(INDIRECT(aliance_ptc_table),MATCH(selected_trust_ptc_ca_name,INDIRECT(aliance_ptc_rows),0),MATCH("p_imd2",INDIRECT(aliance_ptc_cols),0)),1)&amp;")"</f>
        <v>#REF!</v>
      </c>
      <c r="G30" s="45" t="str">
        <f ca="1">TEXT(INDEX(INDIRECT(national_ptc_row),1,MATCH("imd2",INDIRECT(national_ptc_cols),0)),"#,###")&amp;" ("&amp;ROUND(INDEX(INDIRECT(national_ptc_row),1,MATCH("p_imd2",INDIRECT(national_ptc_cols),0)),1)&amp;")"</f>
        <v>7,385 (21.4)</v>
      </c>
    </row>
    <row r="31" spans="4:7" x14ac:dyDescent="0.3">
      <c r="D31" s="40">
        <v>3</v>
      </c>
      <c r="E31" s="23" t="str">
        <f ca="1">TEXT(INDEX(INDIRECT(trust_ptc_table),MATCH(selected_trust_ptc,INDIRECT(trust_ptc_rows),0),MATCH("imd3",INDIRECT(trust_ptc_cols),0)),"#,###")&amp;" ("&amp;ROUND(INDEX(INDIRECT(trust_ptc_table),MATCH(selected_trust_ptc,INDIRECT(trust_ptc_rows),0),MATCH("p_imd3",INDIRECT(trust_ptc_cols),0)),1)&amp;")"</f>
        <v>37 (28.7)</v>
      </c>
      <c r="F31" s="23" t="e">
        <f ca="1">TEXT(INDEX(INDIRECT(aliance_ptc_table),MATCH(selected_trust_ptc_ca_name,INDIRECT(aliance_ptc_rows),0),MATCH("imd3",INDIRECT(aliance_ptc_cols),0)),"#,###")&amp;" ("&amp;ROUND(INDEX(INDIRECT(aliance_ptc_table),MATCH(selected_trust_ptc_ca_name,INDIRECT(aliance_ptc_rows),0),MATCH("p_imd3",INDIRECT(aliance_ptc_cols),0)),1)&amp;")"</f>
        <v>#REF!</v>
      </c>
      <c r="G31" s="45" t="str">
        <f ca="1">TEXT(INDEX(INDIRECT(national_ptc_row),1,MATCH("imd3",INDIRECT(national_ptc_cols),0)),"#,###")&amp;" ("&amp;ROUND(INDEX(INDIRECT(national_ptc_row),1,MATCH("p_imd3",INDIRECT(national_ptc_cols),0)),1)&amp;")"</f>
        <v>6,859 (19.9)</v>
      </c>
    </row>
    <row r="32" spans="4:7" x14ac:dyDescent="0.3">
      <c r="D32" s="40">
        <v>4</v>
      </c>
      <c r="E32" s="23" t="str">
        <f ca="1">TEXT(INDEX(INDIRECT(trust_ptc_table),MATCH(selected_trust_ptc,INDIRECT(trust_ptc_rows),0),MATCH("imd4",INDIRECT(trust_ptc_cols),0)),"#,###")&amp;" ("&amp;ROUND(INDEX(INDIRECT(trust_ptc_table),MATCH(selected_trust_ptc,INDIRECT(trust_ptc_rows),0),MATCH("p_imd4",INDIRECT(trust_ptc_cols),0)),1)&amp;")"</f>
        <v>23 (17.8)</v>
      </c>
      <c r="F32" s="23" t="e">
        <f ca="1">TEXT(INDEX(INDIRECT(aliance_ptc_table),MATCH(selected_trust_ptc_ca_name,INDIRECT(aliance_ptc_rows),0),MATCH("imd4",INDIRECT(aliance_ptc_cols),0)),"#,###")&amp;" ("&amp;ROUND(INDEX(INDIRECT(aliance_ptc_table),MATCH(selected_trust_ptc_ca_name,INDIRECT(aliance_ptc_rows),0),MATCH("p_imd4",INDIRECT(aliance_ptc_cols),0)),1)&amp;")"</f>
        <v>#REF!</v>
      </c>
      <c r="G32" s="45" t="str">
        <f ca="1">TEXT(INDEX(INDIRECT(national_ptc_row),1,MATCH("imd4",INDIRECT(national_ptc_cols),0)),"#,###")&amp;" ("&amp;ROUND(INDEX(INDIRECT(national_ptc_row),1,MATCH("p_imd4",INDIRECT(national_ptc_cols),0)),1)&amp;")"</f>
        <v>6,016 (17.4)</v>
      </c>
    </row>
    <row r="33" spans="4:16" x14ac:dyDescent="0.3">
      <c r="D33" s="43" t="s">
        <v>50</v>
      </c>
      <c r="E33" s="26" t="str">
        <f ca="1">TEXT(INDEX(INDIRECT(trust_ptc_table),MATCH(selected_trust_ptc,INDIRECT(trust_ptc_rows),0),MATCH("imdmost",INDIRECT(trust_ptc_cols),0)),"#,###")&amp;" ("&amp;ROUND(INDEX(INDIRECT(trust_ptc_table),MATCH(selected_trust_ptc,INDIRECT(trust_ptc_rows),0),MATCH("p_imdmost",INDIRECT(trust_ptc_cols),0)),1)&amp;")"</f>
        <v>26 (20.2)</v>
      </c>
      <c r="F33" s="26" t="e">
        <f ca="1">TEXT(INDEX(INDIRECT(aliance_ptc_table),MATCH(selected_trust_ptc_ca_name,INDIRECT(aliance_ptc_rows),0),MATCH("imdmost",INDIRECT(aliance_ptc_cols),0)),"#,###")&amp;" ("&amp;ROUND(INDEX(INDIRECT(aliance_ptc_table),MATCH(selected_trust_ptc_ca_name,INDIRECT(aliance_ptc_rows),0),MATCH("p_imdmost",INDIRECT(aliance_ptc_cols),0)),1)&amp;")"</f>
        <v>#REF!</v>
      </c>
      <c r="G33" s="44" t="str">
        <f ca="1">TEXT(INDEX(INDIRECT(national_ptc_row),1,MATCH("imdmost",INDIRECT(national_ptc_cols),0)),"#,###")&amp;" ("&amp;ROUND(INDEX(INDIRECT(national_ptc_row),1,MATCH("p_imdmost",INDIRECT(national_ptc_cols),0)),1)&amp;")"</f>
        <v>5,163 (15)</v>
      </c>
    </row>
    <row r="34" spans="4:16" x14ac:dyDescent="0.3">
      <c r="D34" s="127" t="s">
        <v>51</v>
      </c>
      <c r="E34" s="5"/>
      <c r="F34" s="128"/>
      <c r="G34" s="129"/>
      <c r="I34" s="27"/>
      <c r="J34" s="27"/>
    </row>
    <row r="35" spans="4:16" x14ac:dyDescent="0.3">
      <c r="D35" s="133" t="s">
        <v>52</v>
      </c>
      <c r="E35" s="128" t="str">
        <f ca="1">TEXT(INDEX(INDIRECT(trust_ptc_table),MATCH(selected_trust_ptc,INDIRECT(trust_ptc_rows),0),MATCH("nsclc",INDIRECT(trust_ptc_cols),0)),"#,###")&amp;" ("&amp;ROUND(INDEX(INDIRECT(trust_ptc_table),MATCH(selected_trust_ptc,INDIRECT(trust_ptc_rows),0),MATCH("p_nsclc",INDIRECT(trust_ptc_cols),0)),1)&amp;")"</f>
        <v>112 (86.8)</v>
      </c>
      <c r="F35" s="128" t="e">
        <f ca="1">TEXT(INDEX(INDIRECT(aliance_ptc_table),MATCH(selected_trust_ptc_ca_name,INDIRECT(aliance_ptc_rows),0),MATCH("nsclc",INDIRECT(aliance_ptc_cols),0)),"#,###")&amp;" ("&amp;ROUND(INDEX(INDIRECT(aliance_ptc_table),MATCH(selected_trust_ptc_ca_name,INDIRECT(aliance_ptc_rows),0),MATCH("p_nsclc",INDIRECT(aliance_ptc_cols),0)),1)&amp;")"</f>
        <v>#REF!</v>
      </c>
      <c r="G35" s="129" t="str">
        <f ca="1">TEXT(INDEX(INDIRECT(national_ptc_row),1,MATCH("nsclc",INDIRECT(national_ptc_cols),0)),"#,###")&amp;" ("&amp;ROUND(INDEX(INDIRECT(national_ptc_row),1,MATCH("p_nsclc",INDIRECT(national_ptc_cols),0)),1)&amp;")"</f>
        <v>19,345 (56.1)</v>
      </c>
      <c r="I35" s="2"/>
    </row>
    <row r="36" spans="4:16" x14ac:dyDescent="0.3">
      <c r="D36" s="133" t="s">
        <v>53</v>
      </c>
      <c r="E36" s="128" t="str">
        <f ca="1">TEXT(INDEX(INDIRECT(trust_ptc_table),MATCH(selected_trust_ptc,INDIRECT(trust_ptc_rows),0),MATCH("sclc",INDIRECT(trust_ptc_cols),0)),"#,###")&amp;" ("&amp;ROUND(INDEX(INDIRECT(trust_ptc_table),MATCH(selected_trust_ptc,INDIRECT(trust_ptc_rows),0),MATCH("p_sclc",INDIRECT(trust_ptc_cols),0)),1)&amp;")"</f>
        <v>11 (8.5)</v>
      </c>
      <c r="F36" s="128" t="e">
        <f ca="1">TEXT(INDEX(INDIRECT(aliance_ptc_table),MATCH(selected_trust_ptc_ca_name,INDIRECT(aliance_ptc_rows),0),MATCH("sclc",INDIRECT(aliance_ptc_cols),0)),"#,###")&amp;" ("&amp;ROUND(INDEX(INDIRECT(aliance_ptc_table),MATCH(selected_trust_ptc_ca_name,INDIRECT(aliance_ptc_rows),0),MATCH("p_sclc",INDIRECT(aliance_ptc_cols),0)),1)&amp;")"</f>
        <v>#REF!</v>
      </c>
      <c r="G36" s="129" t="str">
        <f ca="1">TEXT(INDEX(INDIRECT(national_ptc_row),1,MATCH("sclc",INDIRECT(national_ptc_cols),0)),"#,###")&amp;" ("&amp;ROUND(INDEX(INDIRECT(national_ptc_row),1,MATCH("p_sclc",INDIRECT(national_ptc_cols),0)),1)&amp;")"</f>
        <v>2,541 (7.4)</v>
      </c>
      <c r="J36" s="2"/>
      <c r="P36" s="1"/>
    </row>
    <row r="37" spans="4:16" x14ac:dyDescent="0.3">
      <c r="D37" s="133" t="s">
        <v>54</v>
      </c>
      <c r="E37" s="128" t="str">
        <f ca="1">TEXT(INDEX(INDIRECT(trust_ptc_table),MATCH(selected_trust_ptc,INDIRECT(trust_ptc_rows),0),MATCH("carcinoid",INDIRECT(trust_ptc_cols),0)),"#,###")&amp;" ("&amp;ROUND(INDEX(INDIRECT(trust_ptc_table),MATCH(selected_trust_ptc,INDIRECT(trust_ptc_rows),0),MATCH("p_carc",INDIRECT(trust_ptc_cols),0)),1)&amp;")"</f>
        <v>2 (1.6)</v>
      </c>
      <c r="F37" s="128" t="e">
        <f ca="1">TEXT(INDEX(INDIRECT(aliance_ptc_table),MATCH(selected_trust_ptc_ca_name,INDIRECT(aliance_ptc_rows),0),MATCH("carcinoid",INDIRECT(aliance_ptc_cols),0)),"#,###")&amp;" ("&amp;ROUND(INDEX(INDIRECT(aliance_ptc_table),MATCH(selected_trust_ptc_ca_name,INDIRECT(aliance_ptc_rows),0),MATCH("p_carc",INDIRECT(aliance_ptc_cols),0)),1)&amp;")"</f>
        <v>#REF!</v>
      </c>
      <c r="G37" s="129" t="str">
        <f ca="1">TEXT(INDEX(INDIRECT(national_ptc_row),1,MATCH("carcinoid",INDIRECT(national_ptc_cols),0)),"#,###")&amp;" ("&amp;ROUND(INDEX(INDIRECT(national_ptc_row),1,MATCH("p_carc",INDIRECT(national_ptc_cols),0)),1)&amp;")"</f>
        <v>466 (1.4)</v>
      </c>
    </row>
    <row r="38" spans="4:16" x14ac:dyDescent="0.3">
      <c r="D38" s="134" t="s">
        <v>55</v>
      </c>
      <c r="E38" s="130" t="str">
        <f ca="1">TEXT(INDEX(INDIRECT(trust_ptc_table),MATCH(selected_trust_ptc,INDIRECT(trust_ptc_rows),0),MATCH("not_assessed",INDIRECT(trust_ptc_cols),0)),"#,###")&amp;" ("&amp;ROUND(INDEX(INDIRECT(trust_ptc_table),MATCH(selected_trust_ptc,INDIRECT(trust_ptc_rows),0),MATCH("p_unknown",INDIRECT(trust_ptc_cols),0)),1)&amp;")"</f>
        <v>4 (3.1)</v>
      </c>
      <c r="F38" s="130" t="e">
        <f ca="1">TEXT(INDEX(INDIRECT(aliance_ptc_table),MATCH(selected_trust_ptc_ca_name,INDIRECT(aliance_ptc_rows),0),MATCH("not_assessed",INDIRECT(aliance_ptc_cols),0)),"#,###")&amp;" ("&amp;ROUND(INDEX(INDIRECT(aliance_ptc_table),MATCH(selected_trust_ptc_ca_name,INDIRECT(aliance_ptc_rows),0),MATCH("p_unknown",INDIRECT(aliance_ptc_cols),0)),1)&amp;")"</f>
        <v>#REF!</v>
      </c>
      <c r="G38" s="131" t="str">
        <f ca="1">TEXT(INDEX(INDIRECT(national_ptc_row),1,MATCH("not_assessed",INDIRECT(national_ptc_cols),0)),"#,###")&amp;" ("&amp;ROUND(INDEX(INDIRECT(national_ptc_row),1,MATCH("p_unknown",INDIRECT(national_ptc_cols),0)),1)&amp;")"</f>
        <v>12,126 (35.2)</v>
      </c>
    </row>
    <row r="39" spans="4:16" x14ac:dyDescent="0.3">
      <c r="D39" s="127" t="s">
        <v>56</v>
      </c>
      <c r="E39" s="128"/>
      <c r="F39" s="132"/>
      <c r="G39" s="129"/>
    </row>
    <row r="40" spans="4:16" x14ac:dyDescent="0.3">
      <c r="D40" s="135" t="s">
        <v>57</v>
      </c>
      <c r="E40" s="128" t="str">
        <f ca="1">TEXT(INDEX(INDIRECT(trust_ptc_table),MATCH(selected_trust_ptc,INDIRECT(trust_ptc_rows),0),MATCH("s1",INDIRECT(trust_ptc_cols),0)),"#,###")&amp;" ("&amp;ROUND(INDEX(INDIRECT(trust_ptc_table),MATCH(selected_trust_ptc,INDIRECT(trust_ptc_rows),0),MATCH("p_s1",INDIRECT(trust_ptc_cols),0)),1)&amp;")"</f>
        <v>25 (20.2)</v>
      </c>
      <c r="F40" s="128" t="e">
        <f ca="1">TEXT(INDEX(INDIRECT(aliance_ptc_table),MATCH(selected_trust_ptc_ca_name,INDIRECT(aliance_ptc_rows),0),MATCH("s1",INDIRECT(aliance_ptc_cols),0)),"#,###")&amp;" ("&amp;ROUND(INDEX(INDIRECT(aliance_ptc_table),MATCH(selected_trust_ptc_ca_name,INDIRECT(aliance_ptc_rows),0),MATCH("p_s1",INDIRECT(aliance_ptc_cols),0)),1)&amp;")"</f>
        <v>#REF!</v>
      </c>
      <c r="G40" s="129" t="str">
        <f ca="1">TEXT(INDEX(INDIRECT(national_ptc_row),1,MATCH("s1",INDIRECT(national_ptc_cols),0)),"#,###")&amp;" ("&amp;ROUND(INDEX(INDIRECT(national_ptc_row),1,MATCH("p_s1",INDIRECT(national_ptc_cols),0)),1)&amp;")"</f>
        <v>6,756 (22.8)</v>
      </c>
    </row>
    <row r="41" spans="4:16" x14ac:dyDescent="0.3">
      <c r="D41" s="135" t="s">
        <v>58</v>
      </c>
      <c r="E41" s="128" t="str">
        <f ca="1">TEXT(INDEX(INDIRECT(trust_ptc_table),MATCH(selected_trust_ptc,INDIRECT(trust_ptc_rows),0),MATCH("s2",INDIRECT(trust_ptc_cols),0)),"#,###")&amp;" ("&amp;ROUND(INDEX(INDIRECT(trust_ptc_table),MATCH(selected_trust_ptc,INDIRECT(trust_ptc_rows),0),MATCH("p_s2",INDIRECT(trust_ptc_cols),0)),1)&amp;")"</f>
        <v>19 (15.3)</v>
      </c>
      <c r="F41" s="128" t="e">
        <f ca="1">TEXT(INDEX(INDIRECT(aliance_ptc_table),MATCH(selected_trust_ptc_ca_name,INDIRECT(aliance_ptc_rows),0),MATCH("s2",INDIRECT(aliance_ptc_cols),0)),"#,###")&amp;" ("&amp;ROUND(INDEX(INDIRECT(aliance_ptc_table),MATCH(selected_trust_ptc_ca_name,INDIRECT(aliance_ptc_rows),0),MATCH("p_s2",INDIRECT(aliance_ptc_cols),0)),1)&amp;")"</f>
        <v>#REF!</v>
      </c>
      <c r="G41" s="129" t="str">
        <f ca="1">TEXT(INDEX(INDIRECT(national_ptc_row),1,MATCH("s2",INDIRECT(national_ptc_cols),0)),"#,###")&amp;" ("&amp;ROUND(INDEX(INDIRECT(national_ptc_row),1,MATCH("p_s2",INDIRECT(national_ptc_cols),0)),1)&amp;")"</f>
        <v>2,353 (7.9)</v>
      </c>
    </row>
    <row r="42" spans="4:16" x14ac:dyDescent="0.3">
      <c r="D42" s="135" t="s">
        <v>59</v>
      </c>
      <c r="E42" s="128" t="str">
        <f ca="1">TEXT(INDEX(INDIRECT(trust_ptc_table),MATCH(selected_trust_ptc,INDIRECT(trust_ptc_rows),0),MATCH("s3a",INDIRECT(trust_ptc_cols),0)),"#,###")&amp;" ("&amp;ROUND(INDEX(INDIRECT(trust_ptc_table),MATCH(selected_trust_ptc,INDIRECT(trust_ptc_rows),0),MATCH("p_s3a",INDIRECT(trust_ptc_cols),0)),1)&amp;")"</f>
        <v>15 (12.1)</v>
      </c>
      <c r="F42" s="128" t="e">
        <f ca="1">TEXT(INDEX(INDIRECT(aliance_ptc_table),MATCH(selected_trust_ptc_ca_name,INDIRECT(aliance_ptc_rows),0),MATCH("s3a",INDIRECT(aliance_ptc_cols),0)),"#,###")&amp;" ("&amp;ROUND(INDEX(INDIRECT(aliance_ptc_table),MATCH(selected_trust_ptc_ca_name,INDIRECT(aliance_ptc_rows),0),MATCH("p_s3a",INDIRECT(aliance_ptc_cols),0)),1)&amp;")"</f>
        <v>#REF!</v>
      </c>
      <c r="G42" s="129" t="str">
        <f ca="1">TEXT(INDEX(INDIRECT(national_ptc_row),1,MATCH("s3a",INDIRECT(national_ptc_cols),0)),"#,###")&amp;" ("&amp;ROUND(INDEX(INDIRECT(national_ptc_row),1,MATCH("p_s3a",INDIRECT(national_ptc_cols),0)),1)&amp;")"</f>
        <v>3,639 (12.3)</v>
      </c>
    </row>
    <row r="43" spans="4:16" x14ac:dyDescent="0.3">
      <c r="D43" s="135" t="s">
        <v>60</v>
      </c>
      <c r="E43" s="128" t="str">
        <f ca="1">TEXT(INDEX(INDIRECT(trust_ptc_table),MATCH(selected_trust_ptc,INDIRECT(trust_ptc_rows),0),MATCH("s3b",INDIRECT(trust_ptc_cols),0)),"#,###")&amp;" ("&amp;ROUND(INDEX(INDIRECT(trust_ptc_table),MATCH(selected_trust_ptc,INDIRECT(trust_ptc_rows),0),MATCH("p_s3b",INDIRECT(trust_ptc_cols),0)),1)&amp;")"</f>
        <v>7 (5.6)</v>
      </c>
      <c r="F43" s="128" t="e">
        <f ca="1">TEXT(INDEX(INDIRECT(aliance_ptc_table),MATCH(selected_trust_ptc_ca_name,INDIRECT(aliance_ptc_rows),0),MATCH("s3b",INDIRECT(aliance_ptc_cols),0)),"#,###")&amp;" ("&amp;ROUND(INDEX(INDIRECT(aliance_ptc_table),MATCH(selected_trust_ptc_ca_name,INDIRECT(aliance_ptc_rows),0),MATCH("p_s3b",INDIRECT(aliance_ptc_cols),0)),1)&amp;")"</f>
        <v>#REF!</v>
      </c>
      <c r="G43" s="129" t="str">
        <f ca="1">TEXT(INDEX(INDIRECT(national_ptc_row),1,MATCH("s3b",INDIRECT(national_ptc_cols),0)),"#,###")&amp;" ("&amp;ROUND(INDEX(INDIRECT(national_ptc_row),1,MATCH("p_s3b",INDIRECT(national_ptc_cols),0)),1)&amp;")"</f>
        <v>2,771 (9.3)</v>
      </c>
    </row>
    <row r="44" spans="4:16" x14ac:dyDescent="0.3">
      <c r="D44" s="135" t="s">
        <v>61</v>
      </c>
      <c r="E44" s="128" t="str">
        <f ca="1">TEXT(INDEX(INDIRECT(trust_ptc_table),MATCH(selected_trust_ptc,INDIRECT(trust_ptc_rows),0),MATCH("s4",INDIRECT(trust_ptc_cols),0)),"#,###")&amp;" ("&amp;ROUND(INDEX(INDIRECT(trust_ptc_table),MATCH(selected_trust_ptc,INDIRECT(trust_ptc_rows),0),MATCH("p_s4",INDIRECT(trust_ptc_cols),0)),1)&amp;")"</f>
        <v>58 (46.8)</v>
      </c>
      <c r="F44" s="128" t="e">
        <f ca="1">TEXT(INDEX(INDIRECT(aliance_ptc_table),MATCH(selected_trust_ptc_ca_name,INDIRECT(aliance_ptc_rows),0),MATCH("s4",INDIRECT(aliance_ptc_cols),0)),"#,###")&amp;" ("&amp;ROUND(INDEX(INDIRECT(aliance_ptc_table),MATCH(selected_trust_ptc_ca_name,INDIRECT(aliance_ptc_rows),0),MATCH("p_s4",INDIRECT(aliance_ptc_cols),0)),1)&amp;")"</f>
        <v>#REF!</v>
      </c>
      <c r="G44" s="129" t="str">
        <f ca="1">TEXT(INDEX(INDIRECT(national_ptc_row),1,MATCH("s4",INDIRECT(national_ptc_cols),0)),"#,###")&amp;" ("&amp;ROUND(INDEX(INDIRECT(national_ptc_row),1,MATCH("p_s4",INDIRECT(national_ptc_cols),0)),1)&amp;")"</f>
        <v>14,140 (47.7)</v>
      </c>
    </row>
    <row r="45" spans="4:16" x14ac:dyDescent="0.3">
      <c r="D45" s="136" t="s">
        <v>41</v>
      </c>
      <c r="E45" s="130" t="str">
        <f ca="1">TEXT(INDEX(INDIRECT(trust_ptc_table),MATCH(selected_trust_ptc,INDIRECT(trust_ptc_rows),0),MATCH("s_unknown",INDIRECT(trust_ptc_cols),0)),"#,###")</f>
        <v>5</v>
      </c>
      <c r="F45" s="130" t="e">
        <f ca="1">TEXT(INDEX(INDIRECT(aliance_ptc_table),MATCH(selected_trust_ptc_ca_name,INDIRECT(aliance_ptc_rows),0),MATCH("s_unknown",INDIRECT(aliance_ptc_cols),0)),"#,###")</f>
        <v>#REF!</v>
      </c>
      <c r="G45" s="131" t="str">
        <f ca="1">TEXT(INDEX(INDIRECT(national_ptc_row),1,MATCH("s_unknown",INDIRECT(national_ptc_cols),0)),"#,###")</f>
        <v>4,819</v>
      </c>
    </row>
    <row r="46" spans="4:16" x14ac:dyDescent="0.3">
      <c r="D46" s="127" t="s">
        <v>62</v>
      </c>
      <c r="E46" s="128"/>
      <c r="F46" s="5"/>
      <c r="G46" s="129"/>
    </row>
    <row r="47" spans="4:16" x14ac:dyDescent="0.3">
      <c r="D47" s="135">
        <v>0</v>
      </c>
      <c r="E47" s="128" t="str">
        <f ca="1">TEXT(INDEX(INDIRECT(trust_ptc_table),MATCH(selected_trust_ptc,INDIRECT(trust_ptc_rows),0),MATCH("ps0",INDIRECT(trust_ptc_cols),0)),"#,###")&amp;" ("&amp;ROUND(INDEX(INDIRECT(trust_ptc_table),MATCH(selected_trust_ptc,INDIRECT(trust_ptc_rows),0),MATCH("p_ps0",INDIRECT(trust_ptc_cols),0)),1)&amp;")"</f>
        <v>15 (12.1)</v>
      </c>
      <c r="F47" s="128" t="e">
        <f ca="1">TEXT(INDEX(INDIRECT(aliance_ptc_table),MATCH(selected_trust_ptc_ca_name,INDIRECT(aliance_ptc_rows),0),MATCH("ps0",INDIRECT(aliance_ptc_cols),0)),"#,###")&amp;" ("&amp;ROUND(INDEX(INDIRECT(aliance_ptc_table),MATCH(selected_trust_ptc_ca_name,INDIRECT(aliance_ptc_rows),0),MATCH("p_ps0",INDIRECT(aliance_ptc_cols),0)),1)&amp;")"</f>
        <v>#REF!</v>
      </c>
      <c r="G47" s="129" t="str">
        <f ca="1">TEXT(INDEX(INDIRECT(national_ptc_row),1,MATCH("ps0",INDIRECT(national_ptc_cols),0)),"#,###")&amp;" ("&amp;ROUND(INDEX(INDIRECT(national_ptc_row),1,MATCH("p_ps0",INDIRECT(national_ptc_cols),0)),1)&amp;")"</f>
        <v>6,083 (21.3)</v>
      </c>
    </row>
    <row r="48" spans="4:16" x14ac:dyDescent="0.3">
      <c r="D48" s="135">
        <v>1</v>
      </c>
      <c r="E48" s="128" t="str">
        <f ca="1">TEXT(INDEX(INDIRECT(trust_ptc_table),MATCH(selected_trust_ptc,INDIRECT(trust_ptc_rows),0),MATCH("ps1",INDIRECT(trust_ptc_cols),0)),"#,###")&amp;" ("&amp;ROUND(INDEX(INDIRECT(trust_ptc_table),MATCH(selected_trust_ptc,INDIRECT(trust_ptc_rows),0),MATCH("p_ps1",INDIRECT(trust_ptc_cols),0)),1)&amp;")"</f>
        <v>41 (33.1)</v>
      </c>
      <c r="F48" s="128" t="e">
        <f ca="1">TEXT(INDEX(INDIRECT(aliance_ptc_table),MATCH(selected_trust_ptc_ca_name,INDIRECT(aliance_ptc_rows),0),MATCH("ps1",INDIRECT(aliance_ptc_cols),0)),"#,###")&amp;" ("&amp;ROUND(INDEX(INDIRECT(aliance_ptc_table),MATCH(selected_trust_ptc_ca_name,INDIRECT(aliance_ptc_rows),0),MATCH("p_ps1",INDIRECT(aliance_ptc_cols),0)),1)&amp;")"</f>
        <v>#REF!</v>
      </c>
      <c r="G48" s="129" t="str">
        <f ca="1">TEXT(INDEX(INDIRECT(national_ptc_row),1,MATCH("ps1",INDIRECT(national_ptc_cols),0)),"#,###")&amp;" ("&amp;ROUND(INDEX(INDIRECT(national_ptc_row),1,MATCH("p_ps1",INDIRECT(national_ptc_cols),0)),1)&amp;")"</f>
        <v>9,188 (32.2)</v>
      </c>
    </row>
    <row r="49" spans="4:7" x14ac:dyDescent="0.3">
      <c r="D49" s="135">
        <v>2</v>
      </c>
      <c r="E49" s="128" t="str">
        <f ca="1">TEXT(INDEX(INDIRECT(trust_ptc_table),MATCH(selected_trust_ptc,INDIRECT(trust_ptc_rows),0),MATCH("ps2",INDIRECT(trust_ptc_cols),0)),"#,###")&amp;" ("&amp;ROUND(INDEX(INDIRECT(trust_ptc_table),MATCH(selected_trust_ptc,INDIRECT(trust_ptc_rows),0),MATCH("p_ps2",INDIRECT(trust_ptc_cols),0)),1)&amp;")"</f>
        <v>28 (22.6)</v>
      </c>
      <c r="F49" s="128" t="e">
        <f ca="1">TEXT(INDEX(INDIRECT(aliance_ptc_table),MATCH(selected_trust_ptc_ca_name,INDIRECT(aliance_ptc_rows),0),MATCH("ps2",INDIRECT(aliance_ptc_cols),0)),"#,###")&amp;" ("&amp;ROUND(INDEX(INDIRECT(aliance_ptc_table),MATCH(selected_trust_ptc_ca_name,INDIRECT(aliance_ptc_rows),0),MATCH("p_ps2",INDIRECT(aliance_ptc_cols),0)),1)&amp;")"</f>
        <v>#REF!</v>
      </c>
      <c r="G49" s="129" t="str">
        <f ca="1">TEXT(INDEX(INDIRECT(national_ptc_row),1,MATCH("ps2",INDIRECT(national_ptc_cols),0)),"#,###")&amp;" ("&amp;ROUND(INDEX(INDIRECT(national_ptc_row),1,MATCH("p_ps2",INDIRECT(national_ptc_cols),0)),1)&amp;")"</f>
        <v>5,626 (19.7)</v>
      </c>
    </row>
    <row r="50" spans="4:7" x14ac:dyDescent="0.3">
      <c r="D50" s="135">
        <v>3</v>
      </c>
      <c r="E50" s="128" t="str">
        <f ca="1">TEXT(INDEX(INDIRECT(trust_ptc_table),MATCH(selected_trust_ptc,INDIRECT(trust_ptc_rows),0),MATCH("ps3",INDIRECT(trust_ptc_cols),0)),"#,###")&amp;" ("&amp;ROUND(INDEX(INDIRECT(trust_ptc_table),MATCH(selected_trust_ptc,INDIRECT(trust_ptc_rows),0),MATCH("p_ps3",INDIRECT(trust_ptc_cols),0)),1)&amp;")"</f>
        <v>28 (22.6)</v>
      </c>
      <c r="F50" s="128" t="e">
        <f ca="1">TEXT(INDEX(INDIRECT(aliance_ptc_table),MATCH(selected_trust_ptc_ca_name,INDIRECT(aliance_ptc_rows),0),MATCH("ps3",INDIRECT(aliance_ptc_cols),0)),"#,###")&amp;" ("&amp;ROUND(INDEX(INDIRECT(aliance_ptc_table),MATCH(selected_trust_ptc_ca_name,INDIRECT(aliance_ptc_rows),0),MATCH("p_ps3",INDIRECT(aliance_ptc_cols),0)),1)&amp;")"</f>
        <v>#REF!</v>
      </c>
      <c r="G50" s="129" t="str">
        <f ca="1">TEXT(INDEX(INDIRECT(national_ptc_row),1,MATCH("ps3",INDIRECT(national_ptc_cols),0)),"#,###")&amp;" ("&amp;ROUND(INDEX(INDIRECT(national_ptc_row),1,MATCH("p_ps3",INDIRECT(national_ptc_cols),0)),1)&amp;")"</f>
        <v>5,835 (20.5)</v>
      </c>
    </row>
    <row r="51" spans="4:7" x14ac:dyDescent="0.3">
      <c r="D51" s="135">
        <v>4</v>
      </c>
      <c r="E51" s="128" t="str">
        <f ca="1">TEXT(INDEX(INDIRECT(trust_ptc_table),MATCH(selected_trust_ptc,INDIRECT(trust_ptc_rows),0),MATCH("ps4",INDIRECT(trust_ptc_cols),0)),"#,###")&amp;" ("&amp;ROUND(INDEX(INDIRECT(trust_ptc_table),MATCH(selected_trust_ptc,INDIRECT(trust_ptc_rows),0),MATCH("p_ps4",INDIRECT(trust_ptc_cols),0)),1)&amp;")"</f>
        <v>12 (9.7)</v>
      </c>
      <c r="F51" s="128" t="e">
        <f ca="1">TEXT(INDEX(INDIRECT(aliance_ptc_table),MATCH(selected_trust_ptc_ca_name,INDIRECT(aliance_ptc_rows),0),MATCH("ps4",INDIRECT(aliance_ptc_cols),0)),"#,###")&amp;" ("&amp;ROUND(INDEX(INDIRECT(aliance_ptc_table),MATCH(selected_trust_ptc_ca_name,INDIRECT(aliance_ptc_rows),0),MATCH("p_ps4",INDIRECT(aliance_ptc_cols),0)),1)&amp;")"</f>
        <v>#REF!</v>
      </c>
      <c r="G51" s="129" t="str">
        <f ca="1">TEXT(INDEX(INDIRECT(national_ptc_row),1,MATCH("ps4",INDIRECT(national_ptc_cols),0)),"#,###")&amp;" ("&amp;ROUND(INDEX(INDIRECT(national_ptc_row),1,MATCH("p_ps4",INDIRECT(national_ptc_cols),0)),1)&amp;")"</f>
        <v>1,770 (6.2)</v>
      </c>
    </row>
    <row r="52" spans="4:7" x14ac:dyDescent="0.3">
      <c r="D52" s="136" t="s">
        <v>41</v>
      </c>
      <c r="E52" s="130" t="str">
        <f ca="1">TEXT(INDEX(INDIRECT(trust_ptc_table),MATCH(selected_trust_ptc,INDIRECT(trust_ptc_rows),0),MATCH("ps_unknown",INDIRECT(trust_ptc_cols),0)),"#,###")</f>
        <v>5</v>
      </c>
      <c r="F52" s="130" t="e">
        <f ca="1">TEXT(INDEX(INDIRECT(aliance_ptc_table),MATCH(selected_trust_ptc_ca_name,INDIRECT(aliance_ptc_rows),0),MATCH("ps_unknown",INDIRECT(aliance_ptc_cols),0)),"#,###")</f>
        <v>#REF!</v>
      </c>
      <c r="G52" s="131" t="str">
        <f ca="1">TEXT(INDEX(INDIRECT(national_ptc_row),1,MATCH("ps_unknown",INDIRECT(national_ptc_cols),0)),"#,###")</f>
        <v>5,976</v>
      </c>
    </row>
  </sheetData>
  <mergeCells count="2">
    <mergeCell ref="D9:G9"/>
    <mergeCell ref="D15:D16"/>
  </mergeCells>
  <pageMargins left="0.70866141732283472" right="0.70866141732283472" top="0.74803149606299213" bottom="0.74803149606299213" header="0.31496062992125984" footer="0.31496062992125984"/>
  <pageSetup paperSize="9" scale="4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DD8A4F7-FCD4-4E36-A33B-B88E1E4198E0}">
          <x14:formula1>
            <xm:f>Lists!$A$66:$A$184</xm:f>
          </x14:formula1>
          <xm:sqref>D9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51E59-BDC1-4C2C-83E7-C80A5899048E}">
  <sheetPr>
    <pageSetUpPr autoPageBreaks="0"/>
  </sheetPr>
  <dimension ref="C8:C19"/>
  <sheetViews>
    <sheetView showGridLines="0" showRowColHeaders="0" zoomScaleNormal="100" workbookViewId="0"/>
  </sheetViews>
  <sheetFormatPr defaultRowHeight="14.4" x14ac:dyDescent="0.3"/>
  <cols>
    <col min="3" max="3" width="108.88671875" customWidth="1"/>
  </cols>
  <sheetData>
    <row r="8" spans="3:3" ht="158.4" x14ac:dyDescent="0.3">
      <c r="C8" s="215" t="s">
        <v>888</v>
      </c>
    </row>
    <row r="10" spans="3:3" ht="100.8" x14ac:dyDescent="0.3">
      <c r="C10" s="5" t="s">
        <v>889</v>
      </c>
    </row>
    <row r="12" spans="3:3" ht="43.2" x14ac:dyDescent="0.3">
      <c r="C12" s="5" t="s">
        <v>11</v>
      </c>
    </row>
    <row r="14" spans="3:3" ht="100.8" x14ac:dyDescent="0.3">
      <c r="C14" s="191" t="s">
        <v>674</v>
      </c>
    </row>
    <row r="15" spans="3:3" ht="43.2" x14ac:dyDescent="0.3">
      <c r="C15" s="191" t="s">
        <v>673</v>
      </c>
    </row>
    <row r="17" spans="3:3" ht="144" x14ac:dyDescent="0.3">
      <c r="C17" s="185" t="s">
        <v>709</v>
      </c>
    </row>
    <row r="19" spans="3:3" ht="43.2" x14ac:dyDescent="0.3">
      <c r="C19" s="53" t="s">
        <v>675</v>
      </c>
    </row>
  </sheetData>
  <hyperlinks>
    <hyperlink ref="C17" r:id="rId1" display="The National Cancer Audit Collaborating Centre (NATCAN) is commissioned by the Healthcare Quality Improvement Partnership (HQIP) as part of the National Clinical Audit and Patient Outcomes Programme (NCAPOP). NATCAN delivers national cancer audits in non-Hodgkin lymphoma, bowel, breast (primary and metastatic), oesophago-gastric, ovarian, kidney, lung, pancreatic and prostate cancers. HQIP is led by a consortium of the Academy of Medical Royal Colleges, the Royal College of Nursing, and National Voices. Its aim is to promote quality improvement in patient outcomes, and in particular, to increase the impact that clinical audit, outcome review programmes and registries have on healthcare quality in England and Wales. HQIP holds the contract to commission, manage and develop the National Clinical Audit and Patient Outcomes Programme (NCAPOP), comprising around 40 projects covering care provided to people with a wide range of medical, surgical and mental health conditions. The programme is funded by NHS England, the Welsh Government and, with some individual projects, other devolved administrations and crown dependencies. https://www.hqip.org.uk/national-programmes " xr:uid="{51EC800F-7799-43A4-9B13-FAE1A21695B1}"/>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91315-A1CF-4A2E-9B2D-8148FDD30FBC}">
  <sheetPr>
    <pageSetUpPr fitToPage="1"/>
  </sheetPr>
  <dimension ref="B5:N60"/>
  <sheetViews>
    <sheetView showGridLines="0" zoomScaleNormal="100" workbookViewId="0">
      <selection activeCell="C13" sqref="C13"/>
    </sheetView>
  </sheetViews>
  <sheetFormatPr defaultRowHeight="14.4" x14ac:dyDescent="0.3"/>
  <cols>
    <col min="1" max="1" width="3.5546875" customWidth="1"/>
    <col min="2" max="2" width="4.5546875" customWidth="1"/>
    <col min="3" max="3" width="112.88671875" customWidth="1"/>
    <col min="4" max="4" width="6.44140625" customWidth="1"/>
    <col min="5" max="5" width="7.5546875" customWidth="1"/>
    <col min="6" max="6" width="4" customWidth="1"/>
    <col min="7" max="7" width="50.109375" customWidth="1"/>
    <col min="8" max="8" width="17.44140625" bestFit="1" customWidth="1"/>
    <col min="9" max="9" width="16.5546875" customWidth="1"/>
    <col min="10" max="10" width="3.109375" customWidth="1"/>
    <col min="11" max="11" width="23.6640625" customWidth="1"/>
    <col min="12" max="12" width="19.33203125" bestFit="1" customWidth="1"/>
    <col min="13" max="13" width="18.109375" bestFit="1" customWidth="1"/>
    <col min="14" max="14" width="19.33203125" bestFit="1" customWidth="1"/>
  </cols>
  <sheetData>
    <row r="5" spans="2:14" ht="15.75" customHeight="1" x14ac:dyDescent="0.4">
      <c r="G5" s="198" t="str">
        <f>C13&amp;" in "&amp;C9&amp;""</f>
        <v>Data completeness for Clinical Nurse Specialist (Data quality metric) in  ENGLAND</v>
      </c>
    </row>
    <row r="7" spans="2:14" x14ac:dyDescent="0.3">
      <c r="B7" s="1" t="s">
        <v>14</v>
      </c>
    </row>
    <row r="8" spans="2:14" ht="5.0999999999999996" customHeight="1" thickBot="1" x14ac:dyDescent="0.35">
      <c r="N8" s="53"/>
    </row>
    <row r="9" spans="2:14" ht="15" thickBot="1" x14ac:dyDescent="0.35">
      <c r="C9" s="110" t="s">
        <v>708</v>
      </c>
      <c r="N9" s="53"/>
    </row>
    <row r="10" spans="2:14" ht="5.0999999999999996" customHeight="1" x14ac:dyDescent="0.3">
      <c r="N10" s="53"/>
    </row>
    <row r="11" spans="2:14" ht="15.75" customHeight="1" x14ac:dyDescent="0.3">
      <c r="B11" s="1" t="s">
        <v>712</v>
      </c>
      <c r="N11" s="53"/>
    </row>
    <row r="12" spans="2:14" ht="5.0999999999999996" customHeight="1" thickBot="1" x14ac:dyDescent="0.35"/>
    <row r="13" spans="2:14" ht="15" thickBot="1" x14ac:dyDescent="0.35">
      <c r="C13" s="110" t="s">
        <v>850</v>
      </c>
    </row>
    <row r="15" spans="2:14" ht="15" customHeight="1" x14ac:dyDescent="0.3">
      <c r="C15" s="257" t="s">
        <v>777</v>
      </c>
      <c r="D15" s="5"/>
      <c r="E15" s="5"/>
      <c r="F15" s="5"/>
      <c r="G15" s="5"/>
    </row>
    <row r="16" spans="2:14" ht="15" customHeight="1" x14ac:dyDescent="0.3">
      <c r="C16" s="257"/>
      <c r="D16" s="5"/>
      <c r="E16" s="5"/>
      <c r="F16" s="5"/>
      <c r="G16" s="5"/>
    </row>
    <row r="17" spans="2:3" ht="5.0999999999999996" customHeight="1" x14ac:dyDescent="0.3">
      <c r="B17" s="52"/>
    </row>
    <row r="18" spans="2:3" x14ac:dyDescent="0.3">
      <c r="C18" s="1" t="s">
        <v>12</v>
      </c>
    </row>
    <row r="19" spans="2:3" ht="17.399999999999999" customHeight="1" x14ac:dyDescent="0.3">
      <c r="C19" s="258" t="str">
        <f ca="1">selected_dq_num_l</f>
        <v>Number of people with a new diagnosis of kidney cancer and recorded clinical nurse specialist</v>
      </c>
    </row>
    <row r="20" spans="2:3" ht="17.399999999999999" customHeight="1" x14ac:dyDescent="0.3">
      <c r="B20" s="53"/>
      <c r="C20" s="258"/>
    </row>
    <row r="21" spans="2:3" x14ac:dyDescent="0.3">
      <c r="C21" s="1" t="s">
        <v>13</v>
      </c>
    </row>
    <row r="22" spans="2:3" x14ac:dyDescent="0.3">
      <c r="C22" s="107" t="str">
        <f ca="1">selected_dq_denomdescr_l</f>
        <v>Number of people with a new diagnosis of kidney cancer</v>
      </c>
    </row>
    <row r="23" spans="2:3" ht="5.0999999999999996" customHeight="1" x14ac:dyDescent="0.3">
      <c r="B23" s="53"/>
      <c r="C23" s="53"/>
    </row>
    <row r="24" spans="2:3" x14ac:dyDescent="0.3">
      <c r="C24" s="1" t="s">
        <v>926</v>
      </c>
    </row>
    <row r="25" spans="2:3" x14ac:dyDescent="0.3">
      <c r="C25" s="107" t="str">
        <f ca="1">selected_dq_datasource_l</f>
        <v>Cancer Outcomes and Services Dataset</v>
      </c>
    </row>
    <row r="26" spans="2:3" ht="5.0999999999999996" customHeight="1" x14ac:dyDescent="0.3">
      <c r="B26" s="54"/>
      <c r="C26" s="53"/>
    </row>
    <row r="27" spans="2:3" x14ac:dyDescent="0.3">
      <c r="C27" s="95" t="s">
        <v>17</v>
      </c>
    </row>
    <row r="28" spans="2:3" x14ac:dyDescent="0.3">
      <c r="C28" s="108" t="str">
        <f ca="1">selected_dq_datavar_l</f>
        <v>Clinical Nurse Specialist</v>
      </c>
    </row>
    <row r="29" spans="2:3" ht="5.0999999999999996" customHeight="1" x14ac:dyDescent="0.3">
      <c r="B29" s="4"/>
    </row>
    <row r="30" spans="2:3" x14ac:dyDescent="0.3">
      <c r="C30" s="92" t="s">
        <v>713</v>
      </c>
    </row>
    <row r="31" spans="2:3" x14ac:dyDescent="0.3">
      <c r="C31" s="181">
        <f ca="1">selected_dq_target_l</f>
        <v>0.9</v>
      </c>
    </row>
    <row r="32" spans="2:3" ht="5.0999999999999996" customHeight="1" x14ac:dyDescent="0.3">
      <c r="B32" s="4"/>
      <c r="C32" s="109"/>
    </row>
    <row r="33" spans="2:5" x14ac:dyDescent="0.3">
      <c r="C33" s="102" t="s">
        <v>714</v>
      </c>
    </row>
    <row r="34" spans="2:5" ht="15" customHeight="1" x14ac:dyDescent="0.3">
      <c r="C34" s="111" t="str">
        <f ca="1">selected_dq_time_l</f>
        <v>People diagnosed 1st April 2021 to 31st March 2024</v>
      </c>
    </row>
    <row r="35" spans="2:5" ht="5.0999999999999996" customHeight="1" x14ac:dyDescent="0.3">
      <c r="C35" s="5"/>
    </row>
    <row r="36" spans="2:5" ht="14.4" customHeight="1" x14ac:dyDescent="0.3">
      <c r="C36" s="206" t="s">
        <v>772</v>
      </c>
    </row>
    <row r="37" spans="2:5" ht="12" customHeight="1" x14ac:dyDescent="0.3">
      <c r="C37" s="111" t="str">
        <f ca="1">Links!K26</f>
        <v>No</v>
      </c>
    </row>
    <row r="38" spans="2:5" ht="5.0999999999999996" customHeight="1" x14ac:dyDescent="0.3">
      <c r="C38" s="5"/>
    </row>
    <row r="39" spans="2:5" x14ac:dyDescent="0.3">
      <c r="C39" s="103" t="s">
        <v>768</v>
      </c>
    </row>
    <row r="40" spans="2:5" ht="23.1" customHeight="1" x14ac:dyDescent="0.3">
      <c r="B40" s="104"/>
      <c r="C40" s="258" t="s">
        <v>683</v>
      </c>
    </row>
    <row r="41" spans="2:5" ht="23.1" customHeight="1" x14ac:dyDescent="0.3">
      <c r="B41" s="104"/>
      <c r="C41" s="258"/>
    </row>
    <row r="42" spans="2:5" ht="8.1" customHeight="1" x14ac:dyDescent="0.3">
      <c r="B42" s="104"/>
      <c r="C42" s="107"/>
    </row>
    <row r="43" spans="2:5" ht="14.4" customHeight="1" x14ac:dyDescent="0.3">
      <c r="B43" s="104"/>
      <c r="C43" s="203" t="s">
        <v>776</v>
      </c>
      <c r="E43" s="192" t="s">
        <v>31</v>
      </c>
    </row>
    <row r="44" spans="2:5" ht="75" customHeight="1" x14ac:dyDescent="0.3">
      <c r="C44" s="246" t="s">
        <v>932</v>
      </c>
      <c r="E44" s="138" t="s">
        <v>808</v>
      </c>
    </row>
    <row r="45" spans="2:5" ht="5.0999999999999996" customHeight="1" x14ac:dyDescent="0.3">
      <c r="C45" s="103"/>
    </row>
    <row r="46" spans="2:5" ht="14.4" customHeight="1" x14ac:dyDescent="0.3">
      <c r="C46" s="103" t="s">
        <v>769</v>
      </c>
    </row>
    <row r="47" spans="2:5" ht="12" customHeight="1" x14ac:dyDescent="0.3">
      <c r="C47" s="109" t="s">
        <v>778</v>
      </c>
    </row>
    <row r="48" spans="2:5" ht="5.0999999999999996" customHeight="1" x14ac:dyDescent="0.3">
      <c r="C48" s="103"/>
    </row>
    <row r="49" spans="2:5" ht="14.4" customHeight="1" x14ac:dyDescent="0.3">
      <c r="C49" s="103" t="s">
        <v>770</v>
      </c>
    </row>
    <row r="50" spans="2:5" ht="12" customHeight="1" x14ac:dyDescent="0.3">
      <c r="C50" s="228" t="s">
        <v>911</v>
      </c>
    </row>
    <row r="51" spans="2:5" ht="5.0999999999999996" customHeight="1" x14ac:dyDescent="0.3">
      <c r="C51" s="103"/>
    </row>
    <row r="52" spans="2:5" x14ac:dyDescent="0.3">
      <c r="C52" s="1" t="s">
        <v>30</v>
      </c>
      <c r="E52" s="192"/>
    </row>
    <row r="53" spans="2:5" ht="27.6" customHeight="1" x14ac:dyDescent="0.3">
      <c r="C53" s="258" t="s">
        <v>780</v>
      </c>
    </row>
    <row r="54" spans="2:5" ht="27.6" customHeight="1" x14ac:dyDescent="0.3">
      <c r="B54" s="1"/>
      <c r="C54" s="258"/>
      <c r="E54" s="105"/>
    </row>
    <row r="55" spans="2:5" ht="27.6" customHeight="1" x14ac:dyDescent="0.3">
      <c r="C55" s="258"/>
      <c r="E55" s="256"/>
    </row>
    <row r="56" spans="2:5" ht="15.75" customHeight="1" x14ac:dyDescent="0.3">
      <c r="C56" s="195" t="s">
        <v>684</v>
      </c>
      <c r="E56" s="256"/>
    </row>
    <row r="57" spans="2:5" ht="43.2" x14ac:dyDescent="0.3">
      <c r="C57" s="196" t="s">
        <v>779</v>
      </c>
      <c r="E57" s="192"/>
    </row>
    <row r="58" spans="2:5" ht="12.9" customHeight="1" x14ac:dyDescent="0.3"/>
    <row r="59" spans="2:5" ht="15.6" x14ac:dyDescent="0.3">
      <c r="B59" s="4"/>
      <c r="C59" s="225"/>
      <c r="E59" s="105"/>
    </row>
    <row r="60" spans="2:5" x14ac:dyDescent="0.3">
      <c r="C60" s="224"/>
    </row>
  </sheetData>
  <mergeCells count="5">
    <mergeCell ref="E55:E56"/>
    <mergeCell ref="C15:C16"/>
    <mergeCell ref="C53:C55"/>
    <mergeCell ref="C19:C20"/>
    <mergeCell ref="C40:C41"/>
  </mergeCells>
  <pageMargins left="0.70866141732283472" right="0.70866141732283472" top="0.74803149606299213" bottom="0.74803149606299213" header="0.31496062992125984" footer="0.31496062992125984"/>
  <pageSetup paperSize="9" scale="5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9461" r:id="rId4" name="Check Box 5">
              <controlPr defaultSize="0" autoFill="0" autoLine="0" autoPict="0">
                <anchor moveWithCells="1">
                  <from>
                    <xdr:col>4</xdr:col>
                    <xdr:colOff>182880</xdr:colOff>
                    <xdr:row>33</xdr:row>
                    <xdr:rowOff>121920</xdr:rowOff>
                  </from>
                  <to>
                    <xdr:col>4</xdr:col>
                    <xdr:colOff>426720</xdr:colOff>
                    <xdr:row>35</xdr:row>
                    <xdr:rowOff>22860</xdr:rowOff>
                  </to>
                </anchor>
              </controlPr>
            </control>
          </mc:Choice>
        </mc:AlternateContent>
        <mc:AlternateContent xmlns:mc="http://schemas.openxmlformats.org/markup-compatibility/2006">
          <mc:Choice Requires="x14">
            <control shapeId="19469" r:id="rId5" name="Check Box 13">
              <controlPr defaultSize="0" autoFill="0" autoLine="0" autoPict="0">
                <anchor moveWithCells="1">
                  <from>
                    <xdr:col>4</xdr:col>
                    <xdr:colOff>182880</xdr:colOff>
                    <xdr:row>30</xdr:row>
                    <xdr:rowOff>129540</xdr:rowOff>
                  </from>
                  <to>
                    <xdr:col>4</xdr:col>
                    <xdr:colOff>426720</xdr:colOff>
                    <xdr:row>32</xdr:row>
                    <xdr:rowOff>38100</xdr:rowOff>
                  </to>
                </anchor>
              </controlPr>
            </control>
          </mc:Choice>
        </mc:AlternateContent>
        <mc:AlternateContent xmlns:mc="http://schemas.openxmlformats.org/markup-compatibility/2006">
          <mc:Choice Requires="x14">
            <control shapeId="19490" r:id="rId6" name="Check Box 34">
              <controlPr defaultSize="0" autoFill="0" autoLine="0" autoPict="0">
                <anchor moveWithCells="1">
                  <from>
                    <xdr:col>4</xdr:col>
                    <xdr:colOff>182880</xdr:colOff>
                    <xdr:row>35</xdr:row>
                    <xdr:rowOff>83820</xdr:rowOff>
                  </from>
                  <to>
                    <xdr:col>4</xdr:col>
                    <xdr:colOff>434340</xdr:colOff>
                    <xdr:row>36</xdr:row>
                    <xdr:rowOff>53340</xdr:rowOff>
                  </to>
                </anchor>
              </controlPr>
            </control>
          </mc:Choice>
        </mc:AlternateContent>
        <mc:AlternateContent xmlns:mc="http://schemas.openxmlformats.org/markup-compatibility/2006">
          <mc:Choice Requires="x14">
            <control shapeId="19491" r:id="rId7" name="Check Box 35">
              <controlPr defaultSize="0" autoFill="0" autoLine="0" autoPict="0">
                <anchor moveWithCells="1">
                  <from>
                    <xdr:col>4</xdr:col>
                    <xdr:colOff>182880</xdr:colOff>
                    <xdr:row>36</xdr:row>
                    <xdr:rowOff>106680</xdr:rowOff>
                  </from>
                  <to>
                    <xdr:col>4</xdr:col>
                    <xdr:colOff>419100</xdr:colOff>
                    <xdr:row>38</xdr:row>
                    <xdr:rowOff>45720</xdr:rowOff>
                  </to>
                </anchor>
              </controlPr>
            </control>
          </mc:Choice>
        </mc:AlternateContent>
        <mc:AlternateContent xmlns:mc="http://schemas.openxmlformats.org/markup-compatibility/2006">
          <mc:Choice Requires="x14">
            <control shapeId="19492" r:id="rId8" name="Check Box 36">
              <controlPr defaultSize="0" autoFill="0" autoLine="0" autoPict="0">
                <anchor moveWithCells="1">
                  <from>
                    <xdr:col>4</xdr:col>
                    <xdr:colOff>182880</xdr:colOff>
                    <xdr:row>38</xdr:row>
                    <xdr:rowOff>83820</xdr:rowOff>
                  </from>
                  <to>
                    <xdr:col>4</xdr:col>
                    <xdr:colOff>502920</xdr:colOff>
                    <xdr:row>39</xdr:row>
                    <xdr:rowOff>114300</xdr:rowOff>
                  </to>
                </anchor>
              </controlPr>
            </control>
          </mc:Choice>
        </mc:AlternateContent>
        <mc:AlternateContent xmlns:mc="http://schemas.openxmlformats.org/markup-compatibility/2006">
          <mc:Choice Requires="x14">
            <control shapeId="19493" r:id="rId9" name="Check Box 37">
              <controlPr defaultSize="0" autoFill="0" autoLine="0" autoPict="0">
                <anchor moveWithCells="1">
                  <from>
                    <xdr:col>4</xdr:col>
                    <xdr:colOff>182880</xdr:colOff>
                    <xdr:row>32</xdr:row>
                    <xdr:rowOff>30480</xdr:rowOff>
                  </from>
                  <to>
                    <xdr:col>5</xdr:col>
                    <xdr:colOff>0</xdr:colOff>
                    <xdr:row>33</xdr:row>
                    <xdr:rowOff>76200</xdr:rowOff>
                  </to>
                </anchor>
              </controlPr>
            </control>
          </mc:Choice>
        </mc:AlternateContent>
        <mc:AlternateContent xmlns:mc="http://schemas.openxmlformats.org/markup-compatibility/2006">
          <mc:Choice Requires="x14">
            <control shapeId="19494" r:id="rId10" name="Check Box 38">
              <controlPr defaultSize="0" autoFill="0" autoLine="0" autoPict="0">
                <anchor moveWithCells="1">
                  <from>
                    <xdr:col>4</xdr:col>
                    <xdr:colOff>175260</xdr:colOff>
                    <xdr:row>39</xdr:row>
                    <xdr:rowOff>106680</xdr:rowOff>
                  </from>
                  <to>
                    <xdr:col>4</xdr:col>
                    <xdr:colOff>495300</xdr:colOff>
                    <xdr:row>40</xdr:row>
                    <xdr:rowOff>45720</xdr:rowOff>
                  </to>
                </anchor>
              </controlPr>
            </control>
          </mc:Choice>
        </mc:AlternateContent>
        <mc:AlternateContent xmlns:mc="http://schemas.openxmlformats.org/markup-compatibility/2006">
          <mc:Choice Requires="x14">
            <control shapeId="19495" r:id="rId11" name="Check Box 39">
              <controlPr defaultSize="0" autoFill="0" autoLine="0" autoPict="0">
                <anchor moveWithCells="1">
                  <from>
                    <xdr:col>4</xdr:col>
                    <xdr:colOff>160020</xdr:colOff>
                    <xdr:row>40</xdr:row>
                    <xdr:rowOff>45720</xdr:rowOff>
                  </from>
                  <to>
                    <xdr:col>4</xdr:col>
                    <xdr:colOff>487680</xdr:colOff>
                    <xdr:row>40</xdr:row>
                    <xdr:rowOff>266700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51CD7756-21E2-4C1B-8709-8F403EC175BA}">
          <x14:formula1>
            <xm:f>Lists!$A$11:$A$19</xm:f>
          </x14:formula1>
          <xm:sqref>C13</xm:sqref>
        </x14:dataValidation>
        <x14:dataValidation type="list" allowBlank="1" showInputMessage="1" showErrorMessage="1" xr:uid="{435CC930-0AA2-4D8B-92DA-9DE4F8B5F47B}">
          <x14:formula1>
            <xm:f>Lists!$A$66:$A$186</xm:f>
          </x14:formula1>
          <xm:sqref>C9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9E9C8-6BF6-4BF0-BDA5-2E1BE3267EC5}">
  <dimension ref="B8:K40"/>
  <sheetViews>
    <sheetView showGridLines="0" zoomScaleNormal="100" workbookViewId="0"/>
  </sheetViews>
  <sheetFormatPr defaultRowHeight="14.4" x14ac:dyDescent="0.3"/>
  <cols>
    <col min="2" max="2" width="42.5546875" customWidth="1"/>
    <col min="3" max="3" width="14.33203125" customWidth="1"/>
    <col min="4" max="4" width="13" customWidth="1"/>
    <col min="5" max="5" width="14.88671875" customWidth="1"/>
    <col min="6" max="6" width="13" customWidth="1"/>
    <col min="7" max="7" width="18.109375" customWidth="1"/>
    <col min="8" max="8" width="13.5546875" customWidth="1"/>
    <col min="9" max="9" width="18.5546875" customWidth="1"/>
    <col min="10" max="10" width="21" customWidth="1"/>
    <col min="11" max="11" width="27.5546875" customWidth="1"/>
  </cols>
  <sheetData>
    <row r="8" spans="2:11" ht="87" customHeight="1" x14ac:dyDescent="0.3">
      <c r="B8" s="231" t="s">
        <v>765</v>
      </c>
      <c r="C8" s="232" t="s">
        <v>906</v>
      </c>
      <c r="D8" s="232" t="s">
        <v>905</v>
      </c>
      <c r="E8" s="232" t="s">
        <v>904</v>
      </c>
      <c r="F8" s="232" t="s">
        <v>903</v>
      </c>
      <c r="G8" s="232" t="s">
        <v>902</v>
      </c>
      <c r="H8" s="232" t="s">
        <v>901</v>
      </c>
      <c r="I8" s="233" t="s">
        <v>900</v>
      </c>
      <c r="J8" s="233" t="s">
        <v>899</v>
      </c>
      <c r="K8" s="233" t="s">
        <v>907</v>
      </c>
    </row>
    <row r="9" spans="2:11" x14ac:dyDescent="0.3">
      <c r="B9" s="193" t="s">
        <v>265</v>
      </c>
      <c r="C9" s="205">
        <v>0.65600000000000003</v>
      </c>
      <c r="D9" s="205">
        <v>0.97699999999999998</v>
      </c>
      <c r="E9" s="205">
        <v>0.40600000000000003</v>
      </c>
      <c r="F9" s="205">
        <v>0.84</v>
      </c>
      <c r="G9" s="205">
        <v>0.94699999999999995</v>
      </c>
      <c r="H9" s="205">
        <v>0.76700000000000002</v>
      </c>
      <c r="I9" s="205">
        <v>0.79400000000000004</v>
      </c>
      <c r="J9" s="205">
        <v>0.70799999999999996</v>
      </c>
      <c r="K9" s="205">
        <v>0.76300000000000001</v>
      </c>
    </row>
    <row r="10" spans="2:11" x14ac:dyDescent="0.3">
      <c r="B10" s="193" t="s">
        <v>270</v>
      </c>
      <c r="C10" s="205">
        <v>0.52500000000000002</v>
      </c>
      <c r="D10" s="205">
        <v>0.92600000000000005</v>
      </c>
      <c r="E10" s="205">
        <v>0.41299999999999998</v>
      </c>
      <c r="F10" s="205">
        <v>0.78100000000000003</v>
      </c>
      <c r="G10" s="205">
        <v>0.96499999999999997</v>
      </c>
      <c r="H10" s="205">
        <v>0.46200000000000002</v>
      </c>
      <c r="I10" s="205">
        <v>0.503</v>
      </c>
      <c r="J10" s="205">
        <v>0.438</v>
      </c>
      <c r="K10" s="205">
        <v>0.60099999999999998</v>
      </c>
    </row>
    <row r="11" spans="2:11" x14ac:dyDescent="0.3">
      <c r="B11" s="193" t="s">
        <v>762</v>
      </c>
      <c r="C11" s="205">
        <v>0.47399999999999998</v>
      </c>
      <c r="D11" s="205">
        <v>0.95499999999999996</v>
      </c>
      <c r="E11" s="205">
        <v>0.5</v>
      </c>
      <c r="F11" s="205">
        <v>0.74399999999999999</v>
      </c>
      <c r="G11" s="205">
        <v>0.80500000000000005</v>
      </c>
      <c r="H11" s="205">
        <v>0.55000000000000004</v>
      </c>
      <c r="I11" s="205">
        <v>0.69299999999999995</v>
      </c>
      <c r="J11" s="205">
        <v>0.64</v>
      </c>
      <c r="K11" s="205">
        <v>0.68100000000000005</v>
      </c>
    </row>
    <row r="12" spans="2:11" x14ac:dyDescent="0.3">
      <c r="B12" s="193" t="s">
        <v>282</v>
      </c>
      <c r="C12" s="205">
        <v>0.28999999999999998</v>
      </c>
      <c r="D12" s="205">
        <v>0.98</v>
      </c>
      <c r="E12" s="205">
        <v>0.42399999999999999</v>
      </c>
      <c r="F12" s="205">
        <v>0.73199999999999998</v>
      </c>
      <c r="G12" s="205">
        <v>0.79600000000000004</v>
      </c>
      <c r="H12" s="205">
        <v>0.64800000000000002</v>
      </c>
      <c r="I12" s="205">
        <v>0.75</v>
      </c>
      <c r="J12" s="205">
        <v>0.66900000000000004</v>
      </c>
      <c r="K12" s="205">
        <v>0.86199999999999999</v>
      </c>
    </row>
    <row r="13" spans="2:11" x14ac:dyDescent="0.3">
      <c r="B13" s="193" t="s">
        <v>763</v>
      </c>
      <c r="C13" s="205">
        <v>0.24299999999999999</v>
      </c>
      <c r="D13" s="205">
        <v>0.873</v>
      </c>
      <c r="E13" s="205">
        <v>0.42799999999999999</v>
      </c>
      <c r="F13" s="205">
        <v>0.84399999999999997</v>
      </c>
      <c r="G13" s="205">
        <v>0.85899999999999999</v>
      </c>
      <c r="H13" s="205">
        <v>0.41199999999999998</v>
      </c>
      <c r="I13" s="205">
        <v>0.80500000000000005</v>
      </c>
      <c r="J13" s="205">
        <v>0.74099999999999999</v>
      </c>
      <c r="K13" s="205">
        <v>0.621</v>
      </c>
    </row>
    <row r="14" spans="2:11" x14ac:dyDescent="0.3">
      <c r="B14" s="193" t="s">
        <v>291</v>
      </c>
      <c r="C14" s="205">
        <v>0.625</v>
      </c>
      <c r="D14" s="205">
        <v>0.91500000000000004</v>
      </c>
      <c r="E14" s="205">
        <v>0.45600000000000002</v>
      </c>
      <c r="F14" s="205">
        <v>0.64400000000000002</v>
      </c>
      <c r="G14" s="205">
        <v>0.98599999999999999</v>
      </c>
      <c r="H14" s="205">
        <v>0.68899999999999995</v>
      </c>
      <c r="I14" s="205">
        <v>0.66600000000000004</v>
      </c>
      <c r="J14" s="205">
        <v>0.622</v>
      </c>
      <c r="K14" s="205">
        <v>0.874</v>
      </c>
    </row>
    <row r="15" spans="2:11" x14ac:dyDescent="0.3">
      <c r="B15" s="193" t="s">
        <v>289</v>
      </c>
      <c r="C15" s="205">
        <v>0.751</v>
      </c>
      <c r="D15" s="205">
        <v>0.96599999999999997</v>
      </c>
      <c r="E15" s="205">
        <v>0.40200000000000002</v>
      </c>
      <c r="F15" s="205">
        <v>0.86</v>
      </c>
      <c r="G15" s="205">
        <v>0.95499999999999996</v>
      </c>
      <c r="H15" s="205">
        <v>0.81399999999999995</v>
      </c>
      <c r="I15" s="205">
        <v>0.73699999999999999</v>
      </c>
      <c r="J15" s="205">
        <v>0.65300000000000002</v>
      </c>
      <c r="K15" s="205">
        <v>0.63100000000000001</v>
      </c>
    </row>
    <row r="16" spans="2:11" x14ac:dyDescent="0.3">
      <c r="B16" s="193" t="s">
        <v>297</v>
      </c>
      <c r="C16" s="205">
        <v>0.153</v>
      </c>
      <c r="D16" s="205">
        <v>0.94799999999999995</v>
      </c>
      <c r="E16" s="205">
        <v>0.46100000000000002</v>
      </c>
      <c r="F16" s="205">
        <v>0.72699999999999998</v>
      </c>
      <c r="G16" s="205">
        <v>0.78600000000000003</v>
      </c>
      <c r="H16" s="205">
        <v>0.09</v>
      </c>
      <c r="I16" s="205">
        <v>0.183</v>
      </c>
      <c r="J16" s="205">
        <v>0.128</v>
      </c>
      <c r="K16" s="205">
        <v>0.73899999999999999</v>
      </c>
    </row>
    <row r="17" spans="2:11" x14ac:dyDescent="0.3">
      <c r="B17" s="193" t="s">
        <v>273</v>
      </c>
      <c r="C17" s="205">
        <v>0.37</v>
      </c>
      <c r="D17" s="205">
        <v>0.97299999999999998</v>
      </c>
      <c r="E17" s="205">
        <v>0.35499999999999998</v>
      </c>
      <c r="F17" s="205">
        <v>0.83599999999999997</v>
      </c>
      <c r="G17" s="205">
        <v>0.86699999999999999</v>
      </c>
      <c r="H17" s="204">
        <v>0.187</v>
      </c>
      <c r="I17" s="205">
        <v>0.40100000000000002</v>
      </c>
      <c r="J17" s="205">
        <v>0.29799999999999999</v>
      </c>
      <c r="K17" s="205">
        <v>0.69299999999999995</v>
      </c>
    </row>
    <row r="18" spans="2:11" x14ac:dyDescent="0.3">
      <c r="B18" s="193" t="s">
        <v>304</v>
      </c>
      <c r="C18" s="205">
        <v>0.59599999999999997</v>
      </c>
      <c r="D18" s="205">
        <v>0.96199999999999997</v>
      </c>
      <c r="E18" s="205">
        <v>0.45100000000000001</v>
      </c>
      <c r="F18" s="205">
        <v>0.76900000000000002</v>
      </c>
      <c r="G18" s="205">
        <v>0.95099999999999996</v>
      </c>
      <c r="H18" s="205">
        <v>0.64200000000000002</v>
      </c>
      <c r="I18" s="205">
        <v>0.65500000000000003</v>
      </c>
      <c r="J18" s="205">
        <v>0.58399999999999996</v>
      </c>
      <c r="K18" s="205">
        <v>0.70799999999999996</v>
      </c>
    </row>
    <row r="19" spans="2:11" x14ac:dyDescent="0.3">
      <c r="B19" s="193" t="s">
        <v>308</v>
      </c>
      <c r="C19" s="205">
        <v>0.53100000000000003</v>
      </c>
      <c r="D19" s="205">
        <v>0.98099999999999998</v>
      </c>
      <c r="E19" s="205">
        <v>0.42</v>
      </c>
      <c r="F19" s="205">
        <v>0.77200000000000002</v>
      </c>
      <c r="G19" s="205">
        <v>0.95899999999999996</v>
      </c>
      <c r="H19" s="205">
        <v>0.63300000000000001</v>
      </c>
      <c r="I19" s="205">
        <v>0.68500000000000005</v>
      </c>
      <c r="J19" s="205">
        <v>0.56899999999999995</v>
      </c>
      <c r="K19" s="205">
        <v>0.753</v>
      </c>
    </row>
    <row r="20" spans="2:11" x14ac:dyDescent="0.3">
      <c r="B20" s="193" t="s">
        <v>311</v>
      </c>
      <c r="C20" s="205">
        <v>0.41599999999999998</v>
      </c>
      <c r="D20" s="205">
        <v>0.91300000000000003</v>
      </c>
      <c r="E20" s="205">
        <v>0.48199999999999998</v>
      </c>
      <c r="F20" s="205">
        <v>0.77200000000000002</v>
      </c>
      <c r="G20" s="205">
        <v>0.85199999999999998</v>
      </c>
      <c r="H20" s="205">
        <v>0.65800000000000003</v>
      </c>
      <c r="I20" s="205">
        <v>0.70699999999999996</v>
      </c>
      <c r="J20" s="205">
        <v>0.64900000000000002</v>
      </c>
      <c r="K20" s="205">
        <v>0.83699999999999997</v>
      </c>
    </row>
    <row r="21" spans="2:11" x14ac:dyDescent="0.3">
      <c r="B21" s="193" t="s">
        <v>764</v>
      </c>
      <c r="C21" s="205">
        <v>0.33</v>
      </c>
      <c r="D21" s="205">
        <v>0.88700000000000001</v>
      </c>
      <c r="E21" s="205">
        <v>0.34799999999999998</v>
      </c>
      <c r="F21" s="205">
        <v>0.81100000000000005</v>
      </c>
      <c r="G21" s="205">
        <v>0.752</v>
      </c>
      <c r="H21" s="205">
        <v>0.35799999999999998</v>
      </c>
      <c r="I21" s="205">
        <v>0.67</v>
      </c>
      <c r="J21" s="205">
        <v>0.59699999999999998</v>
      </c>
      <c r="K21" s="205">
        <v>0.71699999999999997</v>
      </c>
    </row>
    <row r="22" spans="2:11" x14ac:dyDescent="0.3">
      <c r="B22" s="193" t="s">
        <v>320</v>
      </c>
      <c r="C22" s="205">
        <v>0.46100000000000002</v>
      </c>
      <c r="D22" s="205">
        <v>0.89500000000000002</v>
      </c>
      <c r="E22" s="205">
        <v>0.36799999999999999</v>
      </c>
      <c r="F22" s="205">
        <v>0.71199999999999997</v>
      </c>
      <c r="G22" s="205">
        <v>0.74099999999999999</v>
      </c>
      <c r="H22" s="205">
        <v>0.45400000000000001</v>
      </c>
      <c r="I22" s="205">
        <v>0.30299999999999999</v>
      </c>
      <c r="J22" s="205">
        <v>0.249</v>
      </c>
      <c r="K22" s="205">
        <v>0.78300000000000003</v>
      </c>
    </row>
    <row r="23" spans="2:11" x14ac:dyDescent="0.3">
      <c r="B23" s="193" t="s">
        <v>277</v>
      </c>
      <c r="C23" s="205">
        <v>0.41</v>
      </c>
      <c r="D23" s="205">
        <v>0.95299999999999996</v>
      </c>
      <c r="E23" s="205">
        <v>0.50800000000000001</v>
      </c>
      <c r="F23" s="205">
        <v>0.70599999999999996</v>
      </c>
      <c r="G23" s="205">
        <v>0.76100000000000001</v>
      </c>
      <c r="H23" s="205">
        <v>0.39300000000000002</v>
      </c>
      <c r="I23" s="205">
        <v>0.67100000000000004</v>
      </c>
      <c r="J23" s="205">
        <v>0.63300000000000001</v>
      </c>
      <c r="K23" s="205">
        <v>0.61899999999999999</v>
      </c>
    </row>
    <row r="24" spans="2:11" x14ac:dyDescent="0.3">
      <c r="B24" s="193" t="s">
        <v>268</v>
      </c>
      <c r="C24" s="205">
        <v>0.48499999999999999</v>
      </c>
      <c r="D24" s="205">
        <v>0.89900000000000002</v>
      </c>
      <c r="E24" s="205">
        <v>0.439</v>
      </c>
      <c r="F24" s="205">
        <v>0.81799999999999995</v>
      </c>
      <c r="G24" s="205">
        <v>0.94899999999999995</v>
      </c>
      <c r="H24" s="205">
        <v>0.61499999999999999</v>
      </c>
      <c r="I24" s="205">
        <v>0.66300000000000003</v>
      </c>
      <c r="J24" s="205">
        <v>0.55300000000000005</v>
      </c>
      <c r="K24" s="205">
        <v>0.82699999999999996</v>
      </c>
    </row>
    <row r="25" spans="2:11" x14ac:dyDescent="0.3">
      <c r="B25" s="193" t="s">
        <v>300</v>
      </c>
      <c r="C25" s="205">
        <v>0.69699999999999995</v>
      </c>
      <c r="D25" s="205">
        <v>0.89100000000000001</v>
      </c>
      <c r="E25" s="205">
        <v>0.46800000000000003</v>
      </c>
      <c r="F25" s="205">
        <v>0.68400000000000005</v>
      </c>
      <c r="G25" s="205">
        <v>0.97899999999999998</v>
      </c>
      <c r="H25" s="205">
        <v>0.434</v>
      </c>
      <c r="I25" s="205">
        <v>0.66300000000000003</v>
      </c>
      <c r="J25" s="205">
        <v>0.59699999999999998</v>
      </c>
      <c r="K25" s="205">
        <v>0.71899999999999997</v>
      </c>
    </row>
    <row r="26" spans="2:11" x14ac:dyDescent="0.3">
      <c r="B26" s="193" t="s">
        <v>331</v>
      </c>
      <c r="C26" s="205">
        <v>0.61699999999999999</v>
      </c>
      <c r="D26" s="205">
        <v>0.88400000000000001</v>
      </c>
      <c r="E26" s="205">
        <v>0.30199999999999999</v>
      </c>
      <c r="F26" s="205">
        <v>0.81399999999999995</v>
      </c>
      <c r="G26" s="205">
        <v>0.91400000000000003</v>
      </c>
      <c r="H26" s="205">
        <v>0.77400000000000002</v>
      </c>
      <c r="I26" s="205">
        <v>0.79500000000000004</v>
      </c>
      <c r="J26" s="205">
        <v>0.65800000000000003</v>
      </c>
      <c r="K26" s="205">
        <v>0.80700000000000005</v>
      </c>
    </row>
    <row r="27" spans="2:11" x14ac:dyDescent="0.3">
      <c r="B27" s="193" t="s">
        <v>335</v>
      </c>
      <c r="C27" s="205">
        <v>0.52600000000000002</v>
      </c>
      <c r="D27" s="205">
        <v>0.93700000000000006</v>
      </c>
      <c r="E27" s="205">
        <v>0.41</v>
      </c>
      <c r="F27" s="205">
        <v>0.76900000000000002</v>
      </c>
      <c r="G27" s="205">
        <v>0.92400000000000004</v>
      </c>
      <c r="H27" s="205">
        <v>0.77200000000000002</v>
      </c>
      <c r="I27" s="205">
        <v>0.69</v>
      </c>
      <c r="J27" s="205">
        <v>0.59</v>
      </c>
      <c r="K27" s="205">
        <v>0.58599999999999997</v>
      </c>
    </row>
    <row r="28" spans="2:11" x14ac:dyDescent="0.3">
      <c r="B28" s="193" t="s">
        <v>263</v>
      </c>
      <c r="C28" s="205">
        <v>0.71899999999999997</v>
      </c>
      <c r="D28" s="205">
        <v>0.97199999999999998</v>
      </c>
      <c r="E28" s="205">
        <v>0.442</v>
      </c>
      <c r="F28" s="205">
        <v>0.84699999999999998</v>
      </c>
      <c r="G28" s="205">
        <v>0.99</v>
      </c>
      <c r="H28" s="205">
        <v>0.53300000000000003</v>
      </c>
      <c r="I28" s="205">
        <v>0.73199999999999998</v>
      </c>
      <c r="J28" s="205">
        <v>0.67800000000000005</v>
      </c>
      <c r="K28" s="205">
        <v>0.747</v>
      </c>
    </row>
    <row r="31" spans="2:11" x14ac:dyDescent="0.3">
      <c r="B31" s="212" t="s">
        <v>805</v>
      </c>
      <c r="C31" s="212" t="s">
        <v>806</v>
      </c>
      <c r="D31" s="212" t="s">
        <v>807</v>
      </c>
    </row>
    <row r="32" spans="2:11" ht="72" x14ac:dyDescent="0.3">
      <c r="B32" s="213" t="s">
        <v>850</v>
      </c>
      <c r="C32" s="214" t="s">
        <v>840</v>
      </c>
      <c r="D32" s="214" t="s">
        <v>909</v>
      </c>
    </row>
    <row r="33" spans="2:4" ht="72" x14ac:dyDescent="0.3">
      <c r="B33" s="213" t="s">
        <v>710</v>
      </c>
      <c r="C33" s="214" t="s">
        <v>840</v>
      </c>
      <c r="D33" s="214" t="s">
        <v>910</v>
      </c>
    </row>
    <row r="34" spans="2:4" ht="72" x14ac:dyDescent="0.3">
      <c r="B34" s="213" t="s">
        <v>851</v>
      </c>
      <c r="C34" s="214" t="s">
        <v>873</v>
      </c>
      <c r="D34" s="214" t="s">
        <v>909</v>
      </c>
    </row>
    <row r="35" spans="2:4" ht="72" x14ac:dyDescent="0.3">
      <c r="B35" s="213" t="s">
        <v>852</v>
      </c>
      <c r="C35" s="214" t="s">
        <v>840</v>
      </c>
      <c r="D35" s="214" t="s">
        <v>909</v>
      </c>
    </row>
    <row r="36" spans="2:4" ht="72" x14ac:dyDescent="0.3">
      <c r="B36" s="213" t="s">
        <v>846</v>
      </c>
      <c r="C36" s="214" t="s">
        <v>840</v>
      </c>
      <c r="D36" s="214" t="s">
        <v>910</v>
      </c>
    </row>
    <row r="37" spans="2:4" ht="72" x14ac:dyDescent="0.3">
      <c r="B37" s="213" t="s">
        <v>847</v>
      </c>
      <c r="C37" s="214" t="s">
        <v>840</v>
      </c>
      <c r="D37" s="214" t="s">
        <v>910</v>
      </c>
    </row>
    <row r="38" spans="2:4" s="53" customFormat="1" ht="81.75" customHeight="1" x14ac:dyDescent="0.3">
      <c r="B38" s="213" t="s">
        <v>848</v>
      </c>
      <c r="C38" s="214" t="s">
        <v>873</v>
      </c>
      <c r="D38" s="214" t="s">
        <v>909</v>
      </c>
    </row>
    <row r="39" spans="2:4" s="53" customFormat="1" ht="81" customHeight="1" x14ac:dyDescent="0.3">
      <c r="B39" s="213" t="s">
        <v>849</v>
      </c>
      <c r="C39" s="214" t="s">
        <v>873</v>
      </c>
      <c r="D39" s="214" t="s">
        <v>909</v>
      </c>
    </row>
    <row r="40" spans="2:4" ht="307.5" customHeight="1" x14ac:dyDescent="0.3">
      <c r="B40" s="226" t="s">
        <v>898</v>
      </c>
      <c r="C40" s="214" t="s">
        <v>915</v>
      </c>
      <c r="D40" s="227" t="s">
        <v>908</v>
      </c>
    </row>
  </sheetData>
  <pageMargins left="0.7" right="0.7" top="0.75" bottom="0.75" header="0.3" footer="0.3"/>
  <drawing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BEC6A-BD5D-437A-B4D8-54CD189CE1D4}">
  <dimension ref="B8:O133"/>
  <sheetViews>
    <sheetView showGridLines="0" zoomScaleNormal="100" workbookViewId="0">
      <pane xSplit="4" topLeftCell="E1" activePane="topRight" state="frozen"/>
      <selection pane="topRight"/>
    </sheetView>
  </sheetViews>
  <sheetFormatPr defaultRowHeight="14.4" x14ac:dyDescent="0.3"/>
  <cols>
    <col min="2" max="2" width="14.109375" customWidth="1"/>
    <col min="3" max="3" width="56.109375" customWidth="1"/>
    <col min="4" max="4" width="40.6640625" customWidth="1"/>
    <col min="5" max="8" width="10.6640625" customWidth="1"/>
    <col min="9" max="9" width="12.44140625" customWidth="1"/>
    <col min="10" max="10" width="14.5546875" customWidth="1"/>
    <col min="11" max="11" width="10.6640625" customWidth="1"/>
    <col min="12" max="12" width="11.6640625" customWidth="1"/>
    <col min="13" max="13" width="11.88671875" customWidth="1"/>
    <col min="14" max="14" width="12" customWidth="1"/>
    <col min="15" max="15" width="10.6640625" customWidth="1"/>
  </cols>
  <sheetData>
    <row r="8" spans="2:15" x14ac:dyDescent="0.3">
      <c r="B8" s="219" t="s">
        <v>806</v>
      </c>
      <c r="C8" s="217" t="s">
        <v>916</v>
      </c>
    </row>
    <row r="9" spans="2:15" x14ac:dyDescent="0.3">
      <c r="B9" s="220" t="s">
        <v>839</v>
      </c>
      <c r="C9" s="218" t="s">
        <v>661</v>
      </c>
    </row>
    <row r="11" spans="2:15" x14ac:dyDescent="0.3">
      <c r="B11" s="240"/>
      <c r="C11" s="241"/>
      <c r="D11" s="242"/>
      <c r="E11" s="259" t="s">
        <v>836</v>
      </c>
      <c r="F11" s="260"/>
      <c r="G11" s="260"/>
      <c r="H11" s="261"/>
      <c r="I11" s="259" t="s">
        <v>837</v>
      </c>
      <c r="J11" s="261"/>
      <c r="K11" s="259" t="s">
        <v>838</v>
      </c>
      <c r="L11" s="260"/>
      <c r="M11" s="260"/>
      <c r="N11" s="260"/>
      <c r="O11" s="261"/>
    </row>
    <row r="12" spans="2:15" s="5" customFormat="1" ht="64.5" customHeight="1" x14ac:dyDescent="0.3">
      <c r="B12" s="234" t="s">
        <v>823</v>
      </c>
      <c r="C12" s="235" t="s">
        <v>824</v>
      </c>
      <c r="D12" s="237" t="s">
        <v>765</v>
      </c>
      <c r="E12" s="234" t="s">
        <v>828</v>
      </c>
      <c r="F12" s="235" t="s">
        <v>829</v>
      </c>
      <c r="G12" s="235" t="s">
        <v>827</v>
      </c>
      <c r="H12" s="236" t="s">
        <v>830</v>
      </c>
      <c r="I12" s="234" t="s">
        <v>825</v>
      </c>
      <c r="J12" s="237" t="s">
        <v>826</v>
      </c>
      <c r="K12" s="238" t="s">
        <v>831</v>
      </c>
      <c r="L12" s="239" t="s">
        <v>833</v>
      </c>
      <c r="M12" s="239" t="s">
        <v>834</v>
      </c>
      <c r="N12" s="239" t="s">
        <v>835</v>
      </c>
      <c r="O12" s="236" t="s">
        <v>832</v>
      </c>
    </row>
    <row r="13" spans="2:15" x14ac:dyDescent="0.3">
      <c r="B13" s="193" t="s">
        <v>396</v>
      </c>
      <c r="C13" s="193" t="s">
        <v>395</v>
      </c>
      <c r="D13" s="193" t="s">
        <v>265</v>
      </c>
      <c r="E13" s="216">
        <v>0.28999999999999998</v>
      </c>
      <c r="F13" s="216">
        <v>0.27</v>
      </c>
      <c r="G13" s="216">
        <v>0.28000000000000003</v>
      </c>
      <c r="H13" s="216">
        <v>0.15</v>
      </c>
      <c r="I13" s="216">
        <v>0.6</v>
      </c>
      <c r="J13" s="216">
        <v>0.4</v>
      </c>
      <c r="K13" s="216">
        <v>0.04</v>
      </c>
      <c r="L13" s="216">
        <v>0.12</v>
      </c>
      <c r="M13" s="216">
        <v>0.16</v>
      </c>
      <c r="N13" s="216">
        <v>0.12</v>
      </c>
      <c r="O13" s="216">
        <v>0.55000000000000004</v>
      </c>
    </row>
    <row r="14" spans="2:15" x14ac:dyDescent="0.3">
      <c r="B14" s="193" t="s">
        <v>480</v>
      </c>
      <c r="C14" s="193" t="s">
        <v>811</v>
      </c>
      <c r="D14" s="193" t="s">
        <v>265</v>
      </c>
      <c r="E14" s="216">
        <v>0.23</v>
      </c>
      <c r="F14" s="216">
        <v>0.25</v>
      </c>
      <c r="G14" s="216">
        <v>0.34</v>
      </c>
      <c r="H14" s="216">
        <v>0.19</v>
      </c>
      <c r="I14" s="216">
        <v>0.6</v>
      </c>
      <c r="J14" s="216">
        <v>0.4</v>
      </c>
      <c r="K14" s="216">
        <v>0.12</v>
      </c>
      <c r="L14" s="216">
        <v>0.16</v>
      </c>
      <c r="M14" s="216">
        <v>0.2</v>
      </c>
      <c r="N14" s="216">
        <v>0.14000000000000001</v>
      </c>
      <c r="O14" s="216">
        <v>0.38</v>
      </c>
    </row>
    <row r="15" spans="2:15" x14ac:dyDescent="0.3">
      <c r="B15" s="193" t="s">
        <v>544</v>
      </c>
      <c r="C15" s="193" t="s">
        <v>543</v>
      </c>
      <c r="D15" s="193" t="s">
        <v>265</v>
      </c>
      <c r="E15" s="216">
        <v>0.25</v>
      </c>
      <c r="F15" s="216">
        <v>0.26</v>
      </c>
      <c r="G15" s="216">
        <v>0.28000000000000003</v>
      </c>
      <c r="H15" s="216">
        <v>0.21</v>
      </c>
      <c r="I15" s="216">
        <v>0.59</v>
      </c>
      <c r="J15" s="216">
        <v>0.41</v>
      </c>
      <c r="K15" s="216">
        <v>0.22</v>
      </c>
      <c r="L15" s="216">
        <v>0.16</v>
      </c>
      <c r="M15" s="216">
        <v>0.16</v>
      </c>
      <c r="N15" s="216">
        <v>0.16</v>
      </c>
      <c r="O15" s="216">
        <v>0.3</v>
      </c>
    </row>
    <row r="16" spans="2:15" x14ac:dyDescent="0.3">
      <c r="B16" s="193" t="s">
        <v>318</v>
      </c>
      <c r="C16" s="193" t="s">
        <v>814</v>
      </c>
      <c r="D16" s="193" t="s">
        <v>265</v>
      </c>
      <c r="E16" s="216">
        <v>0.19</v>
      </c>
      <c r="F16" s="216">
        <v>0.34</v>
      </c>
      <c r="G16" s="216">
        <v>0.31</v>
      </c>
      <c r="H16" s="216">
        <v>0.16</v>
      </c>
      <c r="I16" s="216">
        <v>0.65</v>
      </c>
      <c r="J16" s="216">
        <v>0.35</v>
      </c>
      <c r="K16" s="216">
        <v>0.23</v>
      </c>
      <c r="L16" s="216">
        <v>0.28999999999999998</v>
      </c>
      <c r="M16" s="216">
        <v>0.19</v>
      </c>
      <c r="N16" s="216">
        <v>0.13</v>
      </c>
      <c r="O16" s="216">
        <v>0.16</v>
      </c>
    </row>
    <row r="17" spans="2:15" x14ac:dyDescent="0.3">
      <c r="B17" s="193" t="s">
        <v>408</v>
      </c>
      <c r="C17" s="193" t="s">
        <v>407</v>
      </c>
      <c r="D17" s="193" t="s">
        <v>265</v>
      </c>
      <c r="E17" s="216">
        <v>0.25</v>
      </c>
      <c r="F17" s="216">
        <v>0.25</v>
      </c>
      <c r="G17" s="216">
        <v>0.28999999999999998</v>
      </c>
      <c r="H17" s="216">
        <v>0.21</v>
      </c>
      <c r="I17" s="216">
        <v>0.7</v>
      </c>
      <c r="J17" s="216">
        <v>0.3</v>
      </c>
      <c r="K17" s="216">
        <v>0.28999999999999998</v>
      </c>
      <c r="L17" s="216">
        <v>0.25</v>
      </c>
      <c r="M17" s="216">
        <v>0.17</v>
      </c>
      <c r="N17" s="216">
        <v>0.17</v>
      </c>
      <c r="O17" s="216">
        <v>0.12</v>
      </c>
    </row>
    <row r="18" spans="2:15" x14ac:dyDescent="0.3">
      <c r="B18" s="193" t="s">
        <v>538</v>
      </c>
      <c r="C18" s="193" t="s">
        <v>821</v>
      </c>
      <c r="D18" s="193" t="s">
        <v>265</v>
      </c>
      <c r="E18" s="216">
        <v>0.27</v>
      </c>
      <c r="F18" s="216">
        <v>0.28999999999999998</v>
      </c>
      <c r="G18" s="216">
        <v>0.22</v>
      </c>
      <c r="H18" s="216">
        <v>0.22</v>
      </c>
      <c r="I18" s="216">
        <v>0.63</v>
      </c>
      <c r="J18" s="216">
        <v>0.37</v>
      </c>
      <c r="K18" s="216">
        <v>0.35</v>
      </c>
      <c r="L18" s="216">
        <v>0.23</v>
      </c>
      <c r="M18" s="216">
        <v>0.1</v>
      </c>
      <c r="N18" s="216">
        <v>0.09</v>
      </c>
      <c r="O18" s="216">
        <v>0.23</v>
      </c>
    </row>
    <row r="19" spans="2:15" x14ac:dyDescent="0.3">
      <c r="B19" s="193" t="s">
        <v>339</v>
      </c>
      <c r="C19" s="193" t="s">
        <v>338</v>
      </c>
      <c r="D19" s="193" t="s">
        <v>265</v>
      </c>
      <c r="E19" s="216">
        <v>0.24</v>
      </c>
      <c r="F19" s="216">
        <v>0.15</v>
      </c>
      <c r="G19" s="216">
        <v>0.35</v>
      </c>
      <c r="H19" s="216">
        <v>0.26</v>
      </c>
      <c r="I19" s="216">
        <v>0.53</v>
      </c>
      <c r="J19" s="216">
        <v>0.47</v>
      </c>
      <c r="K19" s="216">
        <v>0.41</v>
      </c>
      <c r="L19" s="216">
        <v>0.31</v>
      </c>
      <c r="M19" s="216">
        <v>0.09</v>
      </c>
      <c r="N19" s="216">
        <v>0.16</v>
      </c>
      <c r="O19" s="216">
        <v>0.03</v>
      </c>
    </row>
    <row r="20" spans="2:15" x14ac:dyDescent="0.3">
      <c r="B20" s="193" t="s">
        <v>464</v>
      </c>
      <c r="C20" s="193" t="s">
        <v>463</v>
      </c>
      <c r="D20" s="193" t="s">
        <v>270</v>
      </c>
      <c r="E20" s="216">
        <v>0.17</v>
      </c>
      <c r="F20" s="216">
        <v>0.22</v>
      </c>
      <c r="G20" s="216">
        <v>0.38</v>
      </c>
      <c r="H20" s="216">
        <v>0.23</v>
      </c>
      <c r="I20" s="216">
        <v>0.66</v>
      </c>
      <c r="J20" s="216">
        <v>0.34</v>
      </c>
      <c r="K20" s="216">
        <v>0.12</v>
      </c>
      <c r="L20" s="216">
        <v>0.22</v>
      </c>
      <c r="M20" s="216">
        <v>0.28000000000000003</v>
      </c>
      <c r="N20" s="216">
        <v>0.22</v>
      </c>
      <c r="O20" s="216">
        <v>0.17</v>
      </c>
    </row>
    <row r="21" spans="2:15" x14ac:dyDescent="0.3">
      <c r="B21" s="193" t="s">
        <v>512</v>
      </c>
      <c r="C21" s="193" t="s">
        <v>511</v>
      </c>
      <c r="D21" s="193" t="s">
        <v>270</v>
      </c>
      <c r="E21" s="216">
        <v>0.22</v>
      </c>
      <c r="F21" s="216">
        <v>0.25</v>
      </c>
      <c r="G21" s="216">
        <v>0.3</v>
      </c>
      <c r="H21" s="216">
        <v>0.22</v>
      </c>
      <c r="I21" s="216">
        <v>0.63</v>
      </c>
      <c r="J21" s="216">
        <v>0.37</v>
      </c>
      <c r="K21" s="216">
        <v>0.14000000000000001</v>
      </c>
      <c r="L21" s="216">
        <v>0.23</v>
      </c>
      <c r="M21" s="216">
        <v>0.22</v>
      </c>
      <c r="N21" s="216">
        <v>0.25</v>
      </c>
      <c r="O21" s="216">
        <v>0.17</v>
      </c>
    </row>
    <row r="22" spans="2:15" x14ac:dyDescent="0.3">
      <c r="B22" s="193" t="s">
        <v>382</v>
      </c>
      <c r="C22" s="193" t="s">
        <v>381</v>
      </c>
      <c r="D22" s="193" t="s">
        <v>270</v>
      </c>
      <c r="E22" s="216">
        <v>0.34</v>
      </c>
      <c r="F22" s="216">
        <v>0.28000000000000003</v>
      </c>
      <c r="G22" s="216">
        <v>0.27</v>
      </c>
      <c r="H22" s="216">
        <v>0.11</v>
      </c>
      <c r="I22" s="216">
        <v>0.61</v>
      </c>
      <c r="J22" s="216">
        <v>0.39</v>
      </c>
      <c r="K22" s="216">
        <v>0.18</v>
      </c>
      <c r="L22" s="216">
        <v>0.31</v>
      </c>
      <c r="M22" s="216">
        <v>0.16</v>
      </c>
      <c r="N22" s="216">
        <v>0.22</v>
      </c>
      <c r="O22" s="216">
        <v>0.12</v>
      </c>
    </row>
    <row r="23" spans="2:15" x14ac:dyDescent="0.3">
      <c r="B23" s="193" t="s">
        <v>528</v>
      </c>
      <c r="C23" s="193" t="s">
        <v>820</v>
      </c>
      <c r="D23" s="193" t="s">
        <v>270</v>
      </c>
      <c r="E23" s="216">
        <v>0.31</v>
      </c>
      <c r="F23" s="216">
        <v>0.27</v>
      </c>
      <c r="G23" s="216">
        <v>0.3</v>
      </c>
      <c r="H23" s="216">
        <v>0.11</v>
      </c>
      <c r="I23" s="216">
        <v>0.64</v>
      </c>
      <c r="J23" s="216">
        <v>0.36</v>
      </c>
      <c r="K23" s="216">
        <v>0.21</v>
      </c>
      <c r="L23" s="216">
        <v>0.32</v>
      </c>
      <c r="M23" s="216">
        <v>0.19</v>
      </c>
      <c r="N23" s="216">
        <v>0.19</v>
      </c>
      <c r="O23" s="216">
        <v>0.08</v>
      </c>
    </row>
    <row r="24" spans="2:15" x14ac:dyDescent="0.3">
      <c r="B24" s="193" t="s">
        <v>433</v>
      </c>
      <c r="C24" s="193" t="s">
        <v>432</v>
      </c>
      <c r="D24" s="193" t="s">
        <v>270</v>
      </c>
      <c r="E24" s="216">
        <v>0.35</v>
      </c>
      <c r="F24" s="216">
        <v>0.21</v>
      </c>
      <c r="G24" s="216">
        <v>0.3</v>
      </c>
      <c r="H24" s="216">
        <v>0.15</v>
      </c>
      <c r="I24" s="216">
        <v>0.65</v>
      </c>
      <c r="J24" s="216">
        <v>0.35</v>
      </c>
      <c r="K24" s="216">
        <v>0.23</v>
      </c>
      <c r="L24" s="216">
        <v>0.15</v>
      </c>
      <c r="M24" s="216">
        <v>0.18</v>
      </c>
      <c r="N24" s="216">
        <v>0.15</v>
      </c>
      <c r="O24" s="216">
        <v>0.28999999999999998</v>
      </c>
    </row>
    <row r="25" spans="2:15" x14ac:dyDescent="0.3">
      <c r="B25" s="193" t="s">
        <v>427</v>
      </c>
      <c r="C25" s="193" t="s">
        <v>426</v>
      </c>
      <c r="D25" s="193" t="s">
        <v>270</v>
      </c>
      <c r="E25" s="216">
        <v>0.15</v>
      </c>
      <c r="F25" s="216">
        <v>0.34</v>
      </c>
      <c r="G25" s="216">
        <v>0.34</v>
      </c>
      <c r="H25" s="216">
        <v>0.17</v>
      </c>
      <c r="I25" s="216">
        <v>0.63</v>
      </c>
      <c r="J25" s="216">
        <v>0.37</v>
      </c>
      <c r="K25" s="216">
        <v>0.27</v>
      </c>
      <c r="L25" s="216">
        <v>0.32</v>
      </c>
      <c r="M25" s="216">
        <v>0.14000000000000001</v>
      </c>
      <c r="N25" s="216">
        <v>0.13</v>
      </c>
      <c r="O25" s="216">
        <v>0.14000000000000001</v>
      </c>
    </row>
    <row r="26" spans="2:15" x14ac:dyDescent="0.3">
      <c r="B26" s="193" t="s">
        <v>526</v>
      </c>
      <c r="C26" s="193" t="s">
        <v>816</v>
      </c>
      <c r="D26" s="193" t="s">
        <v>270</v>
      </c>
      <c r="E26" s="216">
        <v>0.22</v>
      </c>
      <c r="F26" s="216">
        <v>0.25</v>
      </c>
      <c r="G26" s="216">
        <v>0.33</v>
      </c>
      <c r="H26" s="216">
        <v>0.2</v>
      </c>
      <c r="I26" s="216">
        <v>0.67</v>
      </c>
      <c r="J26" s="216">
        <v>0.33</v>
      </c>
      <c r="K26" s="216">
        <v>0.28000000000000003</v>
      </c>
      <c r="L26" s="216">
        <v>0.23</v>
      </c>
      <c r="M26" s="216">
        <v>0.21</v>
      </c>
      <c r="N26" s="216">
        <v>0.13</v>
      </c>
      <c r="O26" s="216">
        <v>0.16</v>
      </c>
    </row>
    <row r="27" spans="2:15" x14ac:dyDescent="0.3">
      <c r="B27" s="193" t="s">
        <v>500</v>
      </c>
      <c r="C27" s="193" t="s">
        <v>812</v>
      </c>
      <c r="D27" s="193" t="s">
        <v>762</v>
      </c>
      <c r="E27" s="216">
        <v>0.21</v>
      </c>
      <c r="F27" s="216">
        <v>0.28999999999999998</v>
      </c>
      <c r="G27" s="216">
        <v>0.3</v>
      </c>
      <c r="H27" s="216">
        <v>0.2</v>
      </c>
      <c r="I27" s="216">
        <v>0.64</v>
      </c>
      <c r="J27" s="216">
        <v>0.36</v>
      </c>
      <c r="K27" s="216">
        <v>0.03</v>
      </c>
      <c r="L27" s="216">
        <v>0.09</v>
      </c>
      <c r="M27" s="216">
        <v>0.33</v>
      </c>
      <c r="N27" s="216">
        <v>0.42</v>
      </c>
      <c r="O27" s="216">
        <v>0.12</v>
      </c>
    </row>
    <row r="28" spans="2:15" x14ac:dyDescent="0.3">
      <c r="B28" s="193" t="s">
        <v>380</v>
      </c>
      <c r="C28" s="193" t="s">
        <v>379</v>
      </c>
      <c r="D28" s="193" t="s">
        <v>762</v>
      </c>
      <c r="E28" s="216">
        <v>0.12</v>
      </c>
      <c r="F28" s="216">
        <v>0.19</v>
      </c>
      <c r="G28" s="216">
        <v>0.33</v>
      </c>
      <c r="H28" s="216">
        <v>0.36</v>
      </c>
      <c r="I28" s="216">
        <v>0.75</v>
      </c>
      <c r="J28" s="216">
        <v>0.25</v>
      </c>
      <c r="K28" s="216">
        <v>0.08</v>
      </c>
      <c r="L28" s="216">
        <v>0.1</v>
      </c>
      <c r="M28" s="216">
        <v>0.23</v>
      </c>
      <c r="N28" s="216">
        <v>0.3</v>
      </c>
      <c r="O28" s="216">
        <v>0.28999999999999998</v>
      </c>
    </row>
    <row r="29" spans="2:15" x14ac:dyDescent="0.3">
      <c r="B29" s="193" t="s">
        <v>542</v>
      </c>
      <c r="C29" s="193" t="s">
        <v>541</v>
      </c>
      <c r="D29" s="193" t="s">
        <v>762</v>
      </c>
      <c r="E29" s="216">
        <v>0.27</v>
      </c>
      <c r="F29" s="216">
        <v>0.24</v>
      </c>
      <c r="G29" s="216">
        <v>0.28000000000000003</v>
      </c>
      <c r="H29" s="216">
        <v>0.22</v>
      </c>
      <c r="I29" s="216">
        <v>0.65</v>
      </c>
      <c r="J29" s="216">
        <v>0.35</v>
      </c>
      <c r="K29" s="216">
        <v>0.11</v>
      </c>
      <c r="L29" s="216">
        <v>0.28999999999999998</v>
      </c>
      <c r="M29" s="216">
        <v>0.41</v>
      </c>
      <c r="N29" s="216">
        <v>0.16</v>
      </c>
      <c r="O29" s="216">
        <v>0.02</v>
      </c>
    </row>
    <row r="30" spans="2:15" x14ac:dyDescent="0.3">
      <c r="B30" s="193" t="s">
        <v>414</v>
      </c>
      <c r="C30" s="193" t="s">
        <v>413</v>
      </c>
      <c r="D30" s="193" t="s">
        <v>762</v>
      </c>
      <c r="E30" s="216">
        <v>0.26</v>
      </c>
      <c r="F30" s="216">
        <v>0.24</v>
      </c>
      <c r="G30" s="216">
        <v>0.37</v>
      </c>
      <c r="H30" s="216">
        <v>0.13</v>
      </c>
      <c r="I30" s="216">
        <v>0.65</v>
      </c>
      <c r="J30" s="216">
        <v>0.35</v>
      </c>
      <c r="K30" s="216">
        <v>0.17</v>
      </c>
      <c r="L30" s="216">
        <v>0.2</v>
      </c>
      <c r="M30" s="216">
        <v>0.32</v>
      </c>
      <c r="N30" s="216">
        <v>0.2</v>
      </c>
      <c r="O30" s="216">
        <v>0.11</v>
      </c>
    </row>
    <row r="31" spans="2:15" x14ac:dyDescent="0.3">
      <c r="B31" s="193" t="s">
        <v>346</v>
      </c>
      <c r="C31" s="193" t="s">
        <v>345</v>
      </c>
      <c r="D31" s="193" t="s">
        <v>762</v>
      </c>
      <c r="E31" s="216">
        <v>0.2</v>
      </c>
      <c r="F31" s="216">
        <v>0.25</v>
      </c>
      <c r="G31" s="216">
        <v>0.34</v>
      </c>
      <c r="H31" s="216">
        <v>0.22</v>
      </c>
      <c r="I31" s="216">
        <v>0.67</v>
      </c>
      <c r="J31" s="216">
        <v>0.33</v>
      </c>
      <c r="K31" s="216">
        <v>0.22</v>
      </c>
      <c r="L31" s="216">
        <v>0.22</v>
      </c>
      <c r="M31" s="216">
        <v>0.25</v>
      </c>
      <c r="N31" s="216">
        <v>0.15</v>
      </c>
      <c r="O31" s="216">
        <v>0.16</v>
      </c>
    </row>
    <row r="32" spans="2:15" x14ac:dyDescent="0.3">
      <c r="B32" s="193" t="s">
        <v>425</v>
      </c>
      <c r="C32" s="193" t="s">
        <v>424</v>
      </c>
      <c r="D32" s="193" t="s">
        <v>762</v>
      </c>
      <c r="E32" s="216">
        <v>0.2</v>
      </c>
      <c r="F32" s="216">
        <v>0.2</v>
      </c>
      <c r="G32" s="216">
        <v>0.34</v>
      </c>
      <c r="H32" s="216">
        <v>0.26</v>
      </c>
      <c r="I32" s="216">
        <v>0.59</v>
      </c>
      <c r="J32" s="216">
        <v>0.41</v>
      </c>
      <c r="K32" s="216">
        <v>0.23</v>
      </c>
      <c r="L32" s="216">
        <v>0.24</v>
      </c>
      <c r="M32" s="216">
        <v>0.26</v>
      </c>
      <c r="N32" s="216">
        <v>0.14000000000000001</v>
      </c>
      <c r="O32" s="216">
        <v>0.13</v>
      </c>
    </row>
    <row r="33" spans="2:15" x14ac:dyDescent="0.3">
      <c r="B33" s="193" t="s">
        <v>406</v>
      </c>
      <c r="C33" s="193" t="s">
        <v>405</v>
      </c>
      <c r="D33" s="193" t="s">
        <v>762</v>
      </c>
      <c r="E33" s="216">
        <v>0.26</v>
      </c>
      <c r="F33" s="216">
        <v>0.22</v>
      </c>
      <c r="G33" s="216">
        <v>0.32</v>
      </c>
      <c r="H33" s="216">
        <v>0.2</v>
      </c>
      <c r="I33" s="216">
        <v>0.64</v>
      </c>
      <c r="J33" s="216">
        <v>0.36</v>
      </c>
      <c r="K33" s="216">
        <v>0.24</v>
      </c>
      <c r="L33" s="216">
        <v>0.25</v>
      </c>
      <c r="M33" s="216">
        <v>0.2</v>
      </c>
      <c r="N33" s="216">
        <v>0.2</v>
      </c>
      <c r="O33" s="216">
        <v>0.11</v>
      </c>
    </row>
    <row r="34" spans="2:15" x14ac:dyDescent="0.3">
      <c r="B34" s="193" t="s">
        <v>412</v>
      </c>
      <c r="C34" s="193" t="s">
        <v>411</v>
      </c>
      <c r="D34" s="193" t="s">
        <v>762</v>
      </c>
      <c r="E34" s="216">
        <v>0.33</v>
      </c>
      <c r="F34" s="216">
        <v>0.2</v>
      </c>
      <c r="G34" s="216">
        <v>0.28000000000000003</v>
      </c>
      <c r="H34" s="216">
        <v>0.19</v>
      </c>
      <c r="I34" s="216">
        <v>0.67</v>
      </c>
      <c r="J34" s="216">
        <v>0.33</v>
      </c>
      <c r="K34" s="216">
        <v>0.25</v>
      </c>
      <c r="L34" s="216">
        <v>0.34</v>
      </c>
      <c r="M34" s="216">
        <v>0.2</v>
      </c>
      <c r="N34" s="216">
        <v>0.14000000000000001</v>
      </c>
      <c r="O34" s="216">
        <v>0.06</v>
      </c>
    </row>
    <row r="35" spans="2:15" x14ac:dyDescent="0.3">
      <c r="B35" s="193" t="s">
        <v>284</v>
      </c>
      <c r="C35" s="193" t="s">
        <v>283</v>
      </c>
      <c r="D35" s="193" t="s">
        <v>762</v>
      </c>
      <c r="E35" s="216">
        <v>0.28999999999999998</v>
      </c>
      <c r="F35" s="216">
        <v>0.25</v>
      </c>
      <c r="G35" s="216">
        <v>0.28999999999999998</v>
      </c>
      <c r="H35" s="216">
        <v>0.16</v>
      </c>
      <c r="I35" s="216">
        <v>0.6</v>
      </c>
      <c r="J35" s="216">
        <v>0.4</v>
      </c>
      <c r="K35" s="216">
        <v>0.27</v>
      </c>
      <c r="L35" s="216">
        <v>0.25</v>
      </c>
      <c r="M35" s="216">
        <v>0.17</v>
      </c>
      <c r="N35" s="216">
        <v>0.2</v>
      </c>
      <c r="O35" s="216">
        <v>0.1</v>
      </c>
    </row>
    <row r="36" spans="2:15" x14ac:dyDescent="0.3">
      <c r="B36" s="193" t="s">
        <v>337</v>
      </c>
      <c r="C36" s="193" t="s">
        <v>336</v>
      </c>
      <c r="D36" s="193" t="s">
        <v>762</v>
      </c>
      <c r="E36" s="216">
        <v>0.36</v>
      </c>
      <c r="F36" s="216">
        <v>0.31</v>
      </c>
      <c r="G36" s="216">
        <v>0.18</v>
      </c>
      <c r="H36" s="216">
        <v>0.15</v>
      </c>
      <c r="I36" s="216">
        <v>0.65</v>
      </c>
      <c r="J36" s="216">
        <v>0.35</v>
      </c>
      <c r="K36" s="216">
        <v>0.32</v>
      </c>
      <c r="L36" s="216">
        <v>0.17</v>
      </c>
      <c r="M36" s="216">
        <v>0.23</v>
      </c>
      <c r="N36" s="216">
        <v>0.2</v>
      </c>
      <c r="O36" s="216">
        <v>7.0000000000000007E-2</v>
      </c>
    </row>
    <row r="37" spans="2:15" x14ac:dyDescent="0.3">
      <c r="B37" s="193" t="s">
        <v>306</v>
      </c>
      <c r="C37" s="193" t="s">
        <v>305</v>
      </c>
      <c r="D37" s="193" t="s">
        <v>762</v>
      </c>
      <c r="E37" s="216">
        <v>0.32</v>
      </c>
      <c r="F37" s="216">
        <v>0.26</v>
      </c>
      <c r="G37" s="216">
        <v>0.3</v>
      </c>
      <c r="H37" s="216">
        <v>0.12</v>
      </c>
      <c r="I37" s="216">
        <v>0.65</v>
      </c>
      <c r="J37" s="216">
        <v>0.35</v>
      </c>
      <c r="K37" s="216">
        <v>0.36</v>
      </c>
      <c r="L37" s="216">
        <v>0.27</v>
      </c>
      <c r="M37" s="216">
        <v>0.24</v>
      </c>
      <c r="N37" s="216">
        <v>0.09</v>
      </c>
      <c r="O37" s="216">
        <v>0.04</v>
      </c>
    </row>
    <row r="38" spans="2:15" x14ac:dyDescent="0.3">
      <c r="B38" s="193" t="s">
        <v>498</v>
      </c>
      <c r="C38" s="193" t="s">
        <v>703</v>
      </c>
      <c r="D38" s="193" t="s">
        <v>762</v>
      </c>
      <c r="E38" s="216">
        <v>0.1</v>
      </c>
      <c r="F38" s="216">
        <v>0.24</v>
      </c>
      <c r="G38" s="216">
        <v>0.38</v>
      </c>
      <c r="H38" s="216">
        <v>0.28999999999999998</v>
      </c>
      <c r="I38" s="216">
        <v>0.67</v>
      </c>
      <c r="J38" s="216">
        <v>0.33</v>
      </c>
      <c r="K38" s="216">
        <v>0.38</v>
      </c>
      <c r="L38" s="216">
        <v>0.24</v>
      </c>
      <c r="M38" s="216">
        <v>0.1</v>
      </c>
      <c r="N38" s="216">
        <v>0.24</v>
      </c>
      <c r="O38" s="216">
        <v>0.05</v>
      </c>
    </row>
    <row r="39" spans="2:15" x14ac:dyDescent="0.3">
      <c r="B39" s="193" t="s">
        <v>540</v>
      </c>
      <c r="C39" s="193" t="s">
        <v>706</v>
      </c>
      <c r="D39" s="193" t="s">
        <v>762</v>
      </c>
      <c r="E39" s="216">
        <v>0.28999999999999998</v>
      </c>
      <c r="F39" s="216">
        <v>0.26</v>
      </c>
      <c r="G39" s="216">
        <v>0.23</v>
      </c>
      <c r="H39" s="216">
        <v>0.22</v>
      </c>
      <c r="I39" s="216">
        <v>0.66</v>
      </c>
      <c r="J39" s="216">
        <v>0.34</v>
      </c>
      <c r="K39" s="216">
        <v>0.44</v>
      </c>
      <c r="L39" s="216">
        <v>0.19</v>
      </c>
      <c r="M39" s="216">
        <v>0.24</v>
      </c>
      <c r="N39" s="216">
        <v>0.11</v>
      </c>
      <c r="O39" s="216">
        <v>0.02</v>
      </c>
    </row>
    <row r="40" spans="2:15" x14ac:dyDescent="0.3">
      <c r="B40" s="193" t="s">
        <v>486</v>
      </c>
      <c r="C40" s="193" t="s">
        <v>485</v>
      </c>
      <c r="D40" s="193" t="s">
        <v>282</v>
      </c>
      <c r="E40" s="216">
        <v>0.32</v>
      </c>
      <c r="F40" s="216">
        <v>0.26</v>
      </c>
      <c r="G40" s="216">
        <v>0.22</v>
      </c>
      <c r="H40" s="216">
        <v>0.2</v>
      </c>
      <c r="I40" s="216">
        <v>0.62</v>
      </c>
      <c r="J40" s="216">
        <v>0.38</v>
      </c>
      <c r="K40" s="216">
        <v>0.03</v>
      </c>
      <c r="L40" s="216">
        <v>0.09</v>
      </c>
      <c r="M40" s="216">
        <v>0.17</v>
      </c>
      <c r="N40" s="216">
        <v>0.22</v>
      </c>
      <c r="O40" s="216">
        <v>0.49</v>
      </c>
    </row>
    <row r="41" spans="2:15" x14ac:dyDescent="0.3">
      <c r="B41" s="193" t="s">
        <v>456</v>
      </c>
      <c r="C41" s="193" t="s">
        <v>700</v>
      </c>
      <c r="D41" s="193" t="s">
        <v>282</v>
      </c>
      <c r="E41" s="216">
        <v>0.33</v>
      </c>
      <c r="F41" s="216">
        <v>0.25</v>
      </c>
      <c r="G41" s="216">
        <v>0.3</v>
      </c>
      <c r="H41" s="216">
        <v>0.12</v>
      </c>
      <c r="I41" s="216">
        <v>0.61</v>
      </c>
      <c r="J41" s="216">
        <v>0.39</v>
      </c>
      <c r="K41" s="216">
        <v>0.09</v>
      </c>
      <c r="L41" s="216">
        <v>0.16</v>
      </c>
      <c r="M41" s="216">
        <v>0.11</v>
      </c>
      <c r="N41" s="216">
        <v>0.22</v>
      </c>
      <c r="O41" s="216">
        <v>0.42</v>
      </c>
    </row>
    <row r="42" spans="2:15" x14ac:dyDescent="0.3">
      <c r="B42" s="193" t="s">
        <v>402</v>
      </c>
      <c r="C42" s="193" t="s">
        <v>401</v>
      </c>
      <c r="D42" s="193" t="s">
        <v>282</v>
      </c>
      <c r="E42" s="216">
        <v>0.28999999999999998</v>
      </c>
      <c r="F42" s="216">
        <v>0.25</v>
      </c>
      <c r="G42" s="216">
        <v>0.28999999999999998</v>
      </c>
      <c r="H42" s="216">
        <v>0.16</v>
      </c>
      <c r="I42" s="216">
        <v>0.64</v>
      </c>
      <c r="J42" s="216">
        <v>0.36</v>
      </c>
      <c r="K42" s="216">
        <v>0.1</v>
      </c>
      <c r="L42" s="216">
        <v>0.19</v>
      </c>
      <c r="M42" s="216">
        <v>0.13</v>
      </c>
      <c r="N42" s="216">
        <v>0.19</v>
      </c>
      <c r="O42" s="216">
        <v>0.38</v>
      </c>
    </row>
    <row r="43" spans="2:15" x14ac:dyDescent="0.3">
      <c r="B43" s="193" t="s">
        <v>293</v>
      </c>
      <c r="C43" s="193" t="s">
        <v>292</v>
      </c>
      <c r="D43" s="193" t="s">
        <v>282</v>
      </c>
      <c r="E43" s="216">
        <v>0.19</v>
      </c>
      <c r="F43" s="216">
        <v>0.28000000000000003</v>
      </c>
      <c r="G43" s="216">
        <v>0.28999999999999998</v>
      </c>
      <c r="H43" s="216">
        <v>0.24</v>
      </c>
      <c r="I43" s="216">
        <v>0.65</v>
      </c>
      <c r="J43" s="216">
        <v>0.35</v>
      </c>
      <c r="K43" s="216">
        <v>0.18</v>
      </c>
      <c r="L43" s="216">
        <v>0.26</v>
      </c>
      <c r="M43" s="216">
        <v>0.13</v>
      </c>
      <c r="N43" s="216">
        <v>0.12</v>
      </c>
      <c r="O43" s="216">
        <v>0.32</v>
      </c>
    </row>
    <row r="44" spans="2:15" x14ac:dyDescent="0.3">
      <c r="B44" s="193" t="s">
        <v>548</v>
      </c>
      <c r="C44" s="193" t="s">
        <v>547</v>
      </c>
      <c r="D44" s="193" t="s">
        <v>282</v>
      </c>
      <c r="E44" s="216">
        <v>0.18</v>
      </c>
      <c r="F44" s="216">
        <v>0.18</v>
      </c>
      <c r="G44" s="216">
        <v>0.36</v>
      </c>
      <c r="H44" s="216">
        <v>0.27</v>
      </c>
      <c r="I44" s="216">
        <v>0.56000000000000005</v>
      </c>
      <c r="J44" s="216">
        <v>0.44</v>
      </c>
      <c r="K44" s="216">
        <v>0.18</v>
      </c>
      <c r="L44" s="216">
        <v>0.18</v>
      </c>
      <c r="M44" s="216">
        <v>0.16</v>
      </c>
      <c r="N44" s="216">
        <v>0.2</v>
      </c>
      <c r="O44" s="216">
        <v>0.28999999999999998</v>
      </c>
    </row>
    <row r="45" spans="2:15" x14ac:dyDescent="0.3">
      <c r="B45" s="193" t="s">
        <v>488</v>
      </c>
      <c r="C45" s="193" t="s">
        <v>689</v>
      </c>
      <c r="D45" s="193" t="s">
        <v>282</v>
      </c>
      <c r="E45" s="216">
        <v>0.45</v>
      </c>
      <c r="F45" s="216">
        <v>0.32</v>
      </c>
      <c r="G45" s="216">
        <v>0.23</v>
      </c>
      <c r="H45" s="216">
        <v>0</v>
      </c>
      <c r="I45" s="216">
        <v>0.61</v>
      </c>
      <c r="J45" s="216">
        <v>0.39</v>
      </c>
      <c r="K45" s="216">
        <v>0.23</v>
      </c>
      <c r="L45" s="216">
        <v>0.09</v>
      </c>
      <c r="M45" s="216">
        <v>0.15</v>
      </c>
      <c r="N45" s="216">
        <v>0.21</v>
      </c>
      <c r="O45" s="216">
        <v>0.32</v>
      </c>
    </row>
    <row r="46" spans="2:15" x14ac:dyDescent="0.3">
      <c r="B46" s="193" t="s">
        <v>482</v>
      </c>
      <c r="C46" s="193" t="s">
        <v>481</v>
      </c>
      <c r="D46" s="193" t="s">
        <v>282</v>
      </c>
      <c r="E46" s="216">
        <v>0.25</v>
      </c>
      <c r="F46" s="216">
        <v>0.28000000000000003</v>
      </c>
      <c r="G46" s="216">
        <v>0.31</v>
      </c>
      <c r="H46" s="216">
        <v>0.15</v>
      </c>
      <c r="I46" s="216">
        <v>0.66</v>
      </c>
      <c r="J46" s="216">
        <v>0.34</v>
      </c>
      <c r="K46" s="216">
        <v>0.3</v>
      </c>
      <c r="L46" s="216">
        <v>0.22</v>
      </c>
      <c r="M46" s="216">
        <v>0.16</v>
      </c>
      <c r="N46" s="216">
        <v>0.16</v>
      </c>
      <c r="O46" s="216">
        <v>0.15</v>
      </c>
    </row>
    <row r="47" spans="2:15" x14ac:dyDescent="0.3">
      <c r="B47" s="193" t="s">
        <v>429</v>
      </c>
      <c r="C47" s="193" t="s">
        <v>428</v>
      </c>
      <c r="D47" s="193" t="s">
        <v>763</v>
      </c>
      <c r="E47" s="216">
        <v>0.25</v>
      </c>
      <c r="F47" s="216">
        <v>0.2</v>
      </c>
      <c r="G47" s="216">
        <v>0.36</v>
      </c>
      <c r="H47" s="216">
        <v>0.18</v>
      </c>
      <c r="I47" s="216">
        <v>0.65</v>
      </c>
      <c r="J47" s="216">
        <v>0.35</v>
      </c>
      <c r="K47" s="216">
        <v>0.15</v>
      </c>
      <c r="L47" s="216">
        <v>0.22</v>
      </c>
      <c r="M47" s="216">
        <v>0.18</v>
      </c>
      <c r="N47" s="216">
        <v>0.19</v>
      </c>
      <c r="O47" s="216">
        <v>0.26</v>
      </c>
    </row>
    <row r="48" spans="2:15" x14ac:dyDescent="0.3">
      <c r="B48" s="193" t="s">
        <v>374</v>
      </c>
      <c r="C48" s="193" t="s">
        <v>373</v>
      </c>
      <c r="D48" s="193" t="s">
        <v>763</v>
      </c>
      <c r="E48" s="216">
        <v>0.27</v>
      </c>
      <c r="F48" s="216">
        <v>0.26</v>
      </c>
      <c r="G48" s="216">
        <v>0.25</v>
      </c>
      <c r="H48" s="216">
        <v>0.21</v>
      </c>
      <c r="I48" s="216">
        <v>0.62</v>
      </c>
      <c r="J48" s="216">
        <v>0.38</v>
      </c>
      <c r="K48" s="216">
        <v>0.2</v>
      </c>
      <c r="L48" s="216">
        <v>0.22</v>
      </c>
      <c r="M48" s="216">
        <v>0.13</v>
      </c>
      <c r="N48" s="216">
        <v>0.18</v>
      </c>
      <c r="O48" s="216">
        <v>0.27</v>
      </c>
    </row>
    <row r="49" spans="2:15" x14ac:dyDescent="0.3">
      <c r="B49" s="193" t="s">
        <v>554</v>
      </c>
      <c r="C49" s="193" t="s">
        <v>690</v>
      </c>
      <c r="D49" s="193" t="s">
        <v>763</v>
      </c>
      <c r="E49" s="216">
        <v>0.19</v>
      </c>
      <c r="F49" s="216">
        <v>0.22</v>
      </c>
      <c r="G49" s="216">
        <v>0.35</v>
      </c>
      <c r="H49" s="216">
        <v>0.24</v>
      </c>
      <c r="I49" s="216">
        <v>0.57999999999999996</v>
      </c>
      <c r="J49" s="216">
        <v>0.42</v>
      </c>
      <c r="K49" s="216">
        <v>0.31</v>
      </c>
      <c r="L49" s="216">
        <v>0.21</v>
      </c>
      <c r="M49" s="216">
        <v>0.22</v>
      </c>
      <c r="N49" s="216">
        <v>0.13</v>
      </c>
      <c r="O49" s="216">
        <v>0.13</v>
      </c>
    </row>
    <row r="50" spans="2:15" x14ac:dyDescent="0.3">
      <c r="B50" s="193" t="s">
        <v>341</v>
      </c>
      <c r="C50" s="193" t="s">
        <v>340</v>
      </c>
      <c r="D50" s="193" t="s">
        <v>291</v>
      </c>
      <c r="E50" s="216">
        <v>0.22</v>
      </c>
      <c r="F50" s="216">
        <v>0.21</v>
      </c>
      <c r="G50" s="216">
        <v>0.34</v>
      </c>
      <c r="H50" s="216">
        <v>0.23</v>
      </c>
      <c r="I50" s="216">
        <v>0.65</v>
      </c>
      <c r="J50" s="216">
        <v>0.35</v>
      </c>
      <c r="K50" s="216">
        <v>0.09</v>
      </c>
      <c r="L50" s="216">
        <v>0.24</v>
      </c>
      <c r="M50" s="216">
        <v>0.25</v>
      </c>
      <c r="N50" s="216">
        <v>0.22</v>
      </c>
      <c r="O50" s="216">
        <v>0.2</v>
      </c>
    </row>
    <row r="51" spans="2:15" x14ac:dyDescent="0.3">
      <c r="B51" s="193" t="s">
        <v>404</v>
      </c>
      <c r="C51" s="193" t="s">
        <v>403</v>
      </c>
      <c r="D51" s="193" t="s">
        <v>291</v>
      </c>
      <c r="E51" s="216">
        <v>0.26</v>
      </c>
      <c r="F51" s="216">
        <v>0.3</v>
      </c>
      <c r="G51" s="216">
        <v>0.28000000000000003</v>
      </c>
      <c r="H51" s="216">
        <v>0.17</v>
      </c>
      <c r="I51" s="216">
        <v>0.6</v>
      </c>
      <c r="J51" s="216">
        <v>0.4</v>
      </c>
      <c r="K51" s="216">
        <v>0.14000000000000001</v>
      </c>
      <c r="L51" s="216">
        <v>0.19</v>
      </c>
      <c r="M51" s="216">
        <v>0.18</v>
      </c>
      <c r="N51" s="216">
        <v>0.27</v>
      </c>
      <c r="O51" s="216">
        <v>0.22</v>
      </c>
    </row>
    <row r="52" spans="2:15" x14ac:dyDescent="0.3">
      <c r="B52" s="193" t="s">
        <v>327</v>
      </c>
      <c r="C52" s="193" t="s">
        <v>326</v>
      </c>
      <c r="D52" s="193" t="s">
        <v>291</v>
      </c>
      <c r="E52" s="216">
        <v>0.31</v>
      </c>
      <c r="F52" s="216">
        <v>0.15</v>
      </c>
      <c r="G52" s="216">
        <v>0.38</v>
      </c>
      <c r="H52" s="216">
        <v>0.15</v>
      </c>
      <c r="I52" s="216">
        <v>0.68</v>
      </c>
      <c r="J52" s="216">
        <v>0.32</v>
      </c>
      <c r="K52" s="216">
        <v>0.19</v>
      </c>
      <c r="L52" s="216">
        <v>0.19</v>
      </c>
      <c r="M52" s="216">
        <v>0.27</v>
      </c>
      <c r="N52" s="216">
        <v>0.21</v>
      </c>
      <c r="O52" s="216">
        <v>0.15</v>
      </c>
    </row>
    <row r="53" spans="2:15" x14ac:dyDescent="0.3">
      <c r="B53" s="193" t="s">
        <v>400</v>
      </c>
      <c r="C53" s="193" t="s">
        <v>399</v>
      </c>
      <c r="D53" s="193" t="s">
        <v>291</v>
      </c>
      <c r="E53" s="216">
        <v>0.26</v>
      </c>
      <c r="F53" s="216">
        <v>0.27</v>
      </c>
      <c r="G53" s="216">
        <v>0.28000000000000003</v>
      </c>
      <c r="H53" s="216">
        <v>0.2</v>
      </c>
      <c r="I53" s="216">
        <v>0.66</v>
      </c>
      <c r="J53" s="216">
        <v>0.34</v>
      </c>
      <c r="K53" s="216">
        <v>0.3</v>
      </c>
      <c r="L53" s="216">
        <v>0.27</v>
      </c>
      <c r="M53" s="216">
        <v>0.26</v>
      </c>
      <c r="N53" s="216">
        <v>0.12</v>
      </c>
      <c r="O53" s="216">
        <v>0.05</v>
      </c>
    </row>
    <row r="54" spans="2:15" x14ac:dyDescent="0.3">
      <c r="B54" s="193" t="s">
        <v>288</v>
      </c>
      <c r="C54" s="193" t="s">
        <v>287</v>
      </c>
      <c r="D54" s="193" t="s">
        <v>289</v>
      </c>
      <c r="E54" s="216">
        <v>0.16</v>
      </c>
      <c r="F54" s="216">
        <v>0.26</v>
      </c>
      <c r="G54" s="216">
        <v>0.35</v>
      </c>
      <c r="H54" s="216">
        <v>0.23</v>
      </c>
      <c r="I54" s="216">
        <v>0.67</v>
      </c>
      <c r="J54" s="216">
        <v>0.33</v>
      </c>
      <c r="K54" s="216">
        <v>0.1</v>
      </c>
      <c r="L54" s="216">
        <v>0.23</v>
      </c>
      <c r="M54" s="216">
        <v>0.14000000000000001</v>
      </c>
      <c r="N54" s="216">
        <v>0.21</v>
      </c>
      <c r="O54" s="216">
        <v>0.32</v>
      </c>
    </row>
    <row r="55" spans="2:15" x14ac:dyDescent="0.3">
      <c r="B55" s="193" t="s">
        <v>343</v>
      </c>
      <c r="C55" s="193" t="s">
        <v>342</v>
      </c>
      <c r="D55" s="193" t="s">
        <v>289</v>
      </c>
      <c r="E55" s="216">
        <v>0.3</v>
      </c>
      <c r="F55" s="216">
        <v>0.2</v>
      </c>
      <c r="G55" s="216">
        <v>0.31</v>
      </c>
      <c r="H55" s="216">
        <v>0.19</v>
      </c>
      <c r="I55" s="216">
        <v>0.57999999999999996</v>
      </c>
      <c r="J55" s="216">
        <v>0.42</v>
      </c>
      <c r="K55" s="216">
        <v>0.12</v>
      </c>
      <c r="L55" s="216">
        <v>0.19</v>
      </c>
      <c r="M55" s="216">
        <v>0.17</v>
      </c>
      <c r="N55" s="216">
        <v>0.18</v>
      </c>
      <c r="O55" s="216">
        <v>0.34</v>
      </c>
    </row>
    <row r="56" spans="2:15" x14ac:dyDescent="0.3">
      <c r="B56" s="193" t="s">
        <v>530</v>
      </c>
      <c r="C56" s="193" t="s">
        <v>817</v>
      </c>
      <c r="D56" s="193" t="s">
        <v>289</v>
      </c>
      <c r="E56" s="216">
        <v>0.11</v>
      </c>
      <c r="F56" s="216">
        <v>0.28000000000000003</v>
      </c>
      <c r="G56" s="216">
        <v>0.31</v>
      </c>
      <c r="H56" s="216">
        <v>0.3</v>
      </c>
      <c r="I56" s="216">
        <v>0.62</v>
      </c>
      <c r="J56" s="216">
        <v>0.38</v>
      </c>
      <c r="K56" s="216">
        <v>0.18</v>
      </c>
      <c r="L56" s="216">
        <v>0.31</v>
      </c>
      <c r="M56" s="216">
        <v>0.15</v>
      </c>
      <c r="N56" s="216">
        <v>0.2</v>
      </c>
      <c r="O56" s="216">
        <v>0.16</v>
      </c>
    </row>
    <row r="57" spans="2:15" x14ac:dyDescent="0.3">
      <c r="B57" s="193" t="s">
        <v>388</v>
      </c>
      <c r="C57" s="193" t="s">
        <v>387</v>
      </c>
      <c r="D57" s="193" t="s">
        <v>289</v>
      </c>
      <c r="E57" s="216">
        <v>0.27</v>
      </c>
      <c r="F57" s="216">
        <v>0.31</v>
      </c>
      <c r="G57" s="216">
        <v>0.28000000000000003</v>
      </c>
      <c r="H57" s="216">
        <v>0.13</v>
      </c>
      <c r="I57" s="216">
        <v>0.64</v>
      </c>
      <c r="J57" s="216">
        <v>0.36</v>
      </c>
      <c r="K57" s="216">
        <v>0.32</v>
      </c>
      <c r="L57" s="216">
        <v>0.25</v>
      </c>
      <c r="M57" s="216">
        <v>0.14000000000000001</v>
      </c>
      <c r="N57" s="216">
        <v>0.14000000000000001</v>
      </c>
      <c r="O57" s="216">
        <v>0.14000000000000001</v>
      </c>
    </row>
    <row r="58" spans="2:15" x14ac:dyDescent="0.3">
      <c r="B58" s="193" t="s">
        <v>420</v>
      </c>
      <c r="C58" s="193" t="s">
        <v>419</v>
      </c>
      <c r="D58" s="193" t="s">
        <v>297</v>
      </c>
      <c r="E58" s="216">
        <v>0.18</v>
      </c>
      <c r="F58" s="216">
        <v>0.27</v>
      </c>
      <c r="G58" s="216">
        <v>0.27</v>
      </c>
      <c r="H58" s="216">
        <v>0.28999999999999998</v>
      </c>
      <c r="I58" s="216">
        <v>0.51</v>
      </c>
      <c r="J58" s="216">
        <v>0.49</v>
      </c>
      <c r="K58" s="216">
        <v>0.02</v>
      </c>
      <c r="L58" s="216">
        <v>0.08</v>
      </c>
      <c r="M58" s="216">
        <v>0.06</v>
      </c>
      <c r="N58" s="216">
        <v>0.35</v>
      </c>
      <c r="O58" s="216">
        <v>0.49</v>
      </c>
    </row>
    <row r="59" spans="2:15" x14ac:dyDescent="0.3">
      <c r="B59" s="193" t="s">
        <v>514</v>
      </c>
      <c r="C59" s="193" t="s">
        <v>513</v>
      </c>
      <c r="D59" s="193" t="s">
        <v>297</v>
      </c>
      <c r="E59" s="216">
        <v>0.3</v>
      </c>
      <c r="F59" s="216">
        <v>0.32</v>
      </c>
      <c r="G59" s="216">
        <v>0.32</v>
      </c>
      <c r="H59" s="216">
        <v>0.05</v>
      </c>
      <c r="I59" s="216">
        <v>0.65</v>
      </c>
      <c r="J59" s="216">
        <v>0.35</v>
      </c>
      <c r="K59" s="216">
        <v>0.08</v>
      </c>
      <c r="L59" s="216">
        <v>0.11</v>
      </c>
      <c r="M59" s="216">
        <v>0.43</v>
      </c>
      <c r="N59" s="216">
        <v>0.35</v>
      </c>
      <c r="O59" s="216">
        <v>0.03</v>
      </c>
    </row>
    <row r="60" spans="2:15" x14ac:dyDescent="0.3">
      <c r="B60" s="193" t="s">
        <v>450</v>
      </c>
      <c r="C60" s="193" t="s">
        <v>449</v>
      </c>
      <c r="D60" s="193" t="s">
        <v>297</v>
      </c>
      <c r="E60" s="216">
        <v>0.37</v>
      </c>
      <c r="F60" s="216">
        <v>0.28000000000000003</v>
      </c>
      <c r="G60" s="216">
        <v>0.24</v>
      </c>
      <c r="H60" s="216">
        <v>0.11</v>
      </c>
      <c r="I60" s="216">
        <v>0.63</v>
      </c>
      <c r="J60" s="216">
        <v>0.37</v>
      </c>
      <c r="K60" s="216">
        <v>0.12</v>
      </c>
      <c r="L60" s="216">
        <v>0.16</v>
      </c>
      <c r="M60" s="216">
        <v>0.27</v>
      </c>
      <c r="N60" s="216">
        <v>0.27</v>
      </c>
      <c r="O60" s="216">
        <v>0.17</v>
      </c>
    </row>
    <row r="61" spans="2:15" x14ac:dyDescent="0.3">
      <c r="B61" s="193" t="s">
        <v>508</v>
      </c>
      <c r="C61" s="193" t="s">
        <v>698</v>
      </c>
      <c r="D61" s="193" t="s">
        <v>297</v>
      </c>
      <c r="E61" s="216">
        <v>0.21</v>
      </c>
      <c r="F61" s="216">
        <v>0.28000000000000003</v>
      </c>
      <c r="G61" s="216">
        <v>0.31</v>
      </c>
      <c r="H61" s="216">
        <v>0.21</v>
      </c>
      <c r="I61" s="216">
        <v>0.76</v>
      </c>
      <c r="J61" s="216">
        <v>0.24</v>
      </c>
      <c r="K61" s="216">
        <v>0.17</v>
      </c>
      <c r="L61" s="216">
        <v>0.24</v>
      </c>
      <c r="M61" s="216">
        <v>0.21</v>
      </c>
      <c r="N61" s="216">
        <v>0.21</v>
      </c>
      <c r="O61" s="216">
        <v>0.17</v>
      </c>
    </row>
    <row r="62" spans="2:15" x14ac:dyDescent="0.3">
      <c r="B62" s="193" t="s">
        <v>372</v>
      </c>
      <c r="C62" s="193" t="s">
        <v>704</v>
      </c>
      <c r="D62" s="193" t="s">
        <v>273</v>
      </c>
      <c r="E62" s="216">
        <v>0.47</v>
      </c>
      <c r="F62" s="216">
        <v>0.24</v>
      </c>
      <c r="G62" s="216">
        <v>0.18</v>
      </c>
      <c r="H62" s="216">
        <v>0.1</v>
      </c>
      <c r="I62" s="216">
        <v>0.55000000000000004</v>
      </c>
      <c r="J62" s="216">
        <v>0.45</v>
      </c>
      <c r="K62" s="216">
        <v>0.01</v>
      </c>
      <c r="L62" s="216">
        <v>0.03</v>
      </c>
      <c r="M62" s="216">
        <v>0.05</v>
      </c>
      <c r="N62" s="216">
        <v>0.55000000000000004</v>
      </c>
      <c r="O62" s="216">
        <v>0.36</v>
      </c>
    </row>
    <row r="63" spans="2:15" x14ac:dyDescent="0.3">
      <c r="B63" s="193" t="s">
        <v>281</v>
      </c>
      <c r="C63" s="193" t="s">
        <v>280</v>
      </c>
      <c r="D63" s="193" t="s">
        <v>273</v>
      </c>
      <c r="E63" s="216">
        <v>0.41</v>
      </c>
      <c r="F63" s="216">
        <v>0.25</v>
      </c>
      <c r="G63" s="216">
        <v>0.19</v>
      </c>
      <c r="H63" s="216">
        <v>0.15</v>
      </c>
      <c r="I63" s="216">
        <v>0.6</v>
      </c>
      <c r="J63" s="216">
        <v>0.4</v>
      </c>
      <c r="K63" s="216">
        <v>7.0000000000000007E-2</v>
      </c>
      <c r="L63" s="216">
        <v>0.06</v>
      </c>
      <c r="M63" s="216">
        <v>0.17</v>
      </c>
      <c r="N63" s="216">
        <v>0.49</v>
      </c>
      <c r="O63" s="216">
        <v>0.21</v>
      </c>
    </row>
    <row r="64" spans="2:15" x14ac:dyDescent="0.3">
      <c r="B64" s="193" t="s">
        <v>272</v>
      </c>
      <c r="C64" s="193" t="s">
        <v>271</v>
      </c>
      <c r="D64" s="193" t="s">
        <v>273</v>
      </c>
      <c r="E64" s="216">
        <v>0.35</v>
      </c>
      <c r="F64" s="216">
        <v>0.23</v>
      </c>
      <c r="G64" s="216">
        <v>0.28000000000000003</v>
      </c>
      <c r="H64" s="216">
        <v>0.14000000000000001</v>
      </c>
      <c r="I64" s="216">
        <v>0.59</v>
      </c>
      <c r="J64" s="216">
        <v>0.41</v>
      </c>
      <c r="K64" s="216">
        <v>0.11</v>
      </c>
      <c r="L64" s="216">
        <v>0.16</v>
      </c>
      <c r="M64" s="216">
        <v>0.24</v>
      </c>
      <c r="N64" s="216">
        <v>0.28000000000000003</v>
      </c>
      <c r="O64" s="216">
        <v>0.21</v>
      </c>
    </row>
    <row r="65" spans="2:15" x14ac:dyDescent="0.3">
      <c r="B65" s="193" t="s">
        <v>472</v>
      </c>
      <c r="C65" s="193" t="s">
        <v>471</v>
      </c>
      <c r="D65" s="193" t="s">
        <v>304</v>
      </c>
      <c r="E65" s="216">
        <v>0.24</v>
      </c>
      <c r="F65" s="216">
        <v>0.23</v>
      </c>
      <c r="G65" s="216">
        <v>0.3</v>
      </c>
      <c r="H65" s="216">
        <v>0.22</v>
      </c>
      <c r="I65" s="216">
        <v>0.62</v>
      </c>
      <c r="J65" s="216">
        <v>0.38</v>
      </c>
      <c r="K65" s="216">
        <v>0.1</v>
      </c>
      <c r="L65" s="216">
        <v>0.13</v>
      </c>
      <c r="M65" s="216">
        <v>0.14000000000000001</v>
      </c>
      <c r="N65" s="216">
        <v>0.28999999999999998</v>
      </c>
      <c r="O65" s="216">
        <v>0.34</v>
      </c>
    </row>
    <row r="66" spans="2:15" x14ac:dyDescent="0.3">
      <c r="B66" s="193" t="s">
        <v>322</v>
      </c>
      <c r="C66" s="193" t="s">
        <v>321</v>
      </c>
      <c r="D66" s="193" t="s">
        <v>304</v>
      </c>
      <c r="E66" s="216">
        <v>0.3</v>
      </c>
      <c r="F66" s="216">
        <v>0.18</v>
      </c>
      <c r="G66" s="216">
        <v>0.31</v>
      </c>
      <c r="H66" s="216">
        <v>0.21</v>
      </c>
      <c r="I66" s="216">
        <v>0.66</v>
      </c>
      <c r="J66" s="216">
        <v>0.34</v>
      </c>
      <c r="K66" s="216">
        <v>0.11</v>
      </c>
      <c r="L66" s="216">
        <v>0.12</v>
      </c>
      <c r="M66" s="216">
        <v>0.09</v>
      </c>
      <c r="N66" s="216">
        <v>0.33</v>
      </c>
      <c r="O66" s="216">
        <v>0.36</v>
      </c>
    </row>
    <row r="67" spans="2:15" x14ac:dyDescent="0.3">
      <c r="B67" s="193" t="s">
        <v>354</v>
      </c>
      <c r="C67" s="193" t="s">
        <v>353</v>
      </c>
      <c r="D67" s="193" t="s">
        <v>304</v>
      </c>
      <c r="E67" s="216">
        <v>0.22</v>
      </c>
      <c r="F67" s="216">
        <v>0.3</v>
      </c>
      <c r="G67" s="216">
        <v>0.3</v>
      </c>
      <c r="H67" s="216">
        <v>0.19</v>
      </c>
      <c r="I67" s="216">
        <v>0.5</v>
      </c>
      <c r="J67" s="216">
        <v>0.5</v>
      </c>
      <c r="K67" s="216">
        <v>0.11</v>
      </c>
      <c r="L67" s="216">
        <v>0.19</v>
      </c>
      <c r="M67" s="216">
        <v>0.16</v>
      </c>
      <c r="N67" s="216">
        <v>0.2</v>
      </c>
      <c r="O67" s="216">
        <v>0.34</v>
      </c>
    </row>
    <row r="68" spans="2:15" x14ac:dyDescent="0.3">
      <c r="B68" s="193" t="s">
        <v>470</v>
      </c>
      <c r="C68" s="193" t="s">
        <v>469</v>
      </c>
      <c r="D68" s="193" t="s">
        <v>304</v>
      </c>
      <c r="E68" s="216">
        <v>0.31</v>
      </c>
      <c r="F68" s="216">
        <v>0.3</v>
      </c>
      <c r="G68" s="216">
        <v>0.25</v>
      </c>
      <c r="H68" s="216">
        <v>0.14000000000000001</v>
      </c>
      <c r="I68" s="216">
        <v>0.61</v>
      </c>
      <c r="J68" s="216">
        <v>0.39</v>
      </c>
      <c r="K68" s="216">
        <v>0.15</v>
      </c>
      <c r="L68" s="216">
        <v>0.19</v>
      </c>
      <c r="M68" s="216">
        <v>0.17</v>
      </c>
      <c r="N68" s="216">
        <v>0.19</v>
      </c>
      <c r="O68" s="216">
        <v>0.28999999999999998</v>
      </c>
    </row>
    <row r="69" spans="2:15" x14ac:dyDescent="0.3">
      <c r="B69" s="193" t="s">
        <v>423</v>
      </c>
      <c r="C69" s="193" t="s">
        <v>819</v>
      </c>
      <c r="D69" s="193" t="s">
        <v>304</v>
      </c>
      <c r="E69" s="216">
        <v>0.24</v>
      </c>
      <c r="F69" s="216">
        <v>0.23</v>
      </c>
      <c r="G69" s="216">
        <v>0.32</v>
      </c>
      <c r="H69" s="216">
        <v>0.21</v>
      </c>
      <c r="I69" s="216">
        <v>0.62</v>
      </c>
      <c r="J69" s="216">
        <v>0.38</v>
      </c>
      <c r="K69" s="216">
        <v>0.17</v>
      </c>
      <c r="L69" s="216">
        <v>0.18</v>
      </c>
      <c r="M69" s="216">
        <v>0.15</v>
      </c>
      <c r="N69" s="216">
        <v>0.18</v>
      </c>
      <c r="O69" s="216">
        <v>0.32</v>
      </c>
    </row>
    <row r="70" spans="2:15" x14ac:dyDescent="0.3">
      <c r="B70" s="193" t="s">
        <v>496</v>
      </c>
      <c r="C70" s="193" t="s">
        <v>815</v>
      </c>
      <c r="D70" s="193" t="s">
        <v>304</v>
      </c>
      <c r="E70" s="216">
        <v>0.33</v>
      </c>
      <c r="F70" s="216">
        <v>0.28999999999999998</v>
      </c>
      <c r="G70" s="216">
        <v>0.31</v>
      </c>
      <c r="H70" s="216">
        <v>0.08</v>
      </c>
      <c r="I70" s="216">
        <v>0.64</v>
      </c>
      <c r="J70" s="216">
        <v>0.36</v>
      </c>
      <c r="K70" s="216">
        <v>0.19</v>
      </c>
      <c r="L70" s="216">
        <v>0.17</v>
      </c>
      <c r="M70" s="216">
        <v>0.17</v>
      </c>
      <c r="N70" s="216">
        <v>0.17</v>
      </c>
      <c r="O70" s="216">
        <v>0.28999999999999998</v>
      </c>
    </row>
    <row r="71" spans="2:15" x14ac:dyDescent="0.3">
      <c r="B71" s="193" t="s">
        <v>418</v>
      </c>
      <c r="C71" s="193" t="s">
        <v>417</v>
      </c>
      <c r="D71" s="193" t="s">
        <v>304</v>
      </c>
      <c r="E71" s="216">
        <v>0.23</v>
      </c>
      <c r="F71" s="216">
        <v>0.33</v>
      </c>
      <c r="G71" s="216">
        <v>0.34</v>
      </c>
      <c r="H71" s="216">
        <v>0.1</v>
      </c>
      <c r="I71" s="216">
        <v>0.67</v>
      </c>
      <c r="J71" s="216">
        <v>0.33</v>
      </c>
      <c r="K71" s="216">
        <v>0.22</v>
      </c>
      <c r="L71" s="216">
        <v>0.16</v>
      </c>
      <c r="M71" s="216">
        <v>0.27</v>
      </c>
      <c r="N71" s="216">
        <v>0.21</v>
      </c>
      <c r="O71" s="216">
        <v>0.15</v>
      </c>
    </row>
    <row r="72" spans="2:15" x14ac:dyDescent="0.3">
      <c r="B72" s="193" t="s">
        <v>431</v>
      </c>
      <c r="C72" s="193" t="s">
        <v>430</v>
      </c>
      <c r="D72" s="193" t="s">
        <v>304</v>
      </c>
      <c r="E72" s="216">
        <v>0.2</v>
      </c>
      <c r="F72" s="216">
        <v>0.3</v>
      </c>
      <c r="G72" s="216">
        <v>0.33</v>
      </c>
      <c r="H72" s="216">
        <v>0.17</v>
      </c>
      <c r="I72" s="216">
        <v>0.62</v>
      </c>
      <c r="J72" s="216">
        <v>0.38</v>
      </c>
      <c r="K72" s="216">
        <v>0.22</v>
      </c>
      <c r="L72" s="216">
        <v>0.21</v>
      </c>
      <c r="M72" s="216">
        <v>0.18</v>
      </c>
      <c r="N72" s="216">
        <v>0.19</v>
      </c>
      <c r="O72" s="216">
        <v>0.2</v>
      </c>
    </row>
    <row r="73" spans="2:15" x14ac:dyDescent="0.3">
      <c r="B73" s="193" t="s">
        <v>446</v>
      </c>
      <c r="C73" s="193" t="s">
        <v>445</v>
      </c>
      <c r="D73" s="193" t="s">
        <v>308</v>
      </c>
      <c r="E73" s="216">
        <v>0.2</v>
      </c>
      <c r="F73" s="216">
        <v>0.28999999999999998</v>
      </c>
      <c r="G73" s="216">
        <v>0.35</v>
      </c>
      <c r="H73" s="216">
        <v>0.16</v>
      </c>
      <c r="I73" s="216">
        <v>0.6</v>
      </c>
      <c r="J73" s="216">
        <v>0.4</v>
      </c>
      <c r="K73" s="216">
        <v>0.01</v>
      </c>
      <c r="L73" s="216">
        <v>0.14000000000000001</v>
      </c>
      <c r="M73" s="216">
        <v>0.28999999999999998</v>
      </c>
      <c r="N73" s="216">
        <v>0.43</v>
      </c>
      <c r="O73" s="216">
        <v>0.12</v>
      </c>
    </row>
    <row r="74" spans="2:15" x14ac:dyDescent="0.3">
      <c r="B74" s="193" t="s">
        <v>439</v>
      </c>
      <c r="C74" s="193" t="s">
        <v>697</v>
      </c>
      <c r="D74" s="193" t="s">
        <v>308</v>
      </c>
      <c r="E74" s="216">
        <v>0.28000000000000003</v>
      </c>
      <c r="F74" s="216">
        <v>0.28000000000000003</v>
      </c>
      <c r="G74" s="216">
        <v>0.26</v>
      </c>
      <c r="H74" s="216">
        <v>0.18</v>
      </c>
      <c r="I74" s="216">
        <v>0.62</v>
      </c>
      <c r="J74" s="216">
        <v>0.38</v>
      </c>
      <c r="K74" s="216">
        <v>0.11</v>
      </c>
      <c r="L74" s="216">
        <v>0.18</v>
      </c>
      <c r="M74" s="216">
        <v>0.22</v>
      </c>
      <c r="N74" s="216">
        <v>0.32</v>
      </c>
      <c r="O74" s="216">
        <v>0.17</v>
      </c>
    </row>
    <row r="75" spans="2:15" x14ac:dyDescent="0.3">
      <c r="B75" s="193" t="s">
        <v>510</v>
      </c>
      <c r="C75" s="193" t="s">
        <v>509</v>
      </c>
      <c r="D75" s="193" t="s">
        <v>308</v>
      </c>
      <c r="E75" s="216">
        <v>0.16</v>
      </c>
      <c r="F75" s="216">
        <v>0.21</v>
      </c>
      <c r="G75" s="216">
        <v>0.39</v>
      </c>
      <c r="H75" s="216">
        <v>0.24</v>
      </c>
      <c r="I75" s="216">
        <v>0.63</v>
      </c>
      <c r="J75" s="216">
        <v>0.37</v>
      </c>
      <c r="K75" s="216">
        <v>0.15</v>
      </c>
      <c r="L75" s="216">
        <v>0.16</v>
      </c>
      <c r="M75" s="216">
        <v>0.31</v>
      </c>
      <c r="N75" s="216">
        <v>0.27</v>
      </c>
      <c r="O75" s="216">
        <v>0.11</v>
      </c>
    </row>
    <row r="76" spans="2:15" x14ac:dyDescent="0.3">
      <c r="B76" s="193" t="s">
        <v>448</v>
      </c>
      <c r="C76" s="193" t="s">
        <v>694</v>
      </c>
      <c r="D76" s="193" t="s">
        <v>308</v>
      </c>
      <c r="E76" s="216">
        <v>0.24</v>
      </c>
      <c r="F76" s="216">
        <v>0.25</v>
      </c>
      <c r="G76" s="216">
        <v>0.36</v>
      </c>
      <c r="H76" s="216">
        <v>0.16</v>
      </c>
      <c r="I76" s="216">
        <v>0.64</v>
      </c>
      <c r="J76" s="216">
        <v>0.36</v>
      </c>
      <c r="K76" s="216">
        <v>0.16</v>
      </c>
      <c r="L76" s="216">
        <v>0.23</v>
      </c>
      <c r="M76" s="216">
        <v>0.31</v>
      </c>
      <c r="N76" s="216">
        <v>0.23</v>
      </c>
      <c r="O76" s="216">
        <v>7.0000000000000007E-2</v>
      </c>
    </row>
    <row r="77" spans="2:15" x14ac:dyDescent="0.3">
      <c r="B77" s="193" t="s">
        <v>398</v>
      </c>
      <c r="C77" s="193" t="s">
        <v>686</v>
      </c>
      <c r="D77" s="193" t="s">
        <v>311</v>
      </c>
      <c r="E77" s="216">
        <v>0.33</v>
      </c>
      <c r="F77" s="216">
        <v>0.28000000000000003</v>
      </c>
      <c r="G77" s="216">
        <v>0.28000000000000003</v>
      </c>
      <c r="H77" s="216">
        <v>0.11</v>
      </c>
      <c r="I77" s="216">
        <v>0.68</v>
      </c>
      <c r="J77" s="216">
        <v>0.32</v>
      </c>
      <c r="K77" s="216">
        <v>0.08</v>
      </c>
      <c r="L77" s="216">
        <v>0.15</v>
      </c>
      <c r="M77" s="216">
        <v>0.38</v>
      </c>
      <c r="N77" s="216">
        <v>0.27</v>
      </c>
      <c r="O77" s="216">
        <v>0.12</v>
      </c>
    </row>
    <row r="78" spans="2:15" x14ac:dyDescent="0.3">
      <c r="B78" s="193" t="s">
        <v>376</v>
      </c>
      <c r="C78" s="193" t="s">
        <v>375</v>
      </c>
      <c r="D78" s="193" t="s">
        <v>311</v>
      </c>
      <c r="E78" s="216">
        <v>0.39</v>
      </c>
      <c r="F78" s="216">
        <v>0.26</v>
      </c>
      <c r="G78" s="216">
        <v>0.23</v>
      </c>
      <c r="H78" s="216">
        <v>0.12</v>
      </c>
      <c r="I78" s="216">
        <v>0.68</v>
      </c>
      <c r="J78" s="216">
        <v>0.32</v>
      </c>
      <c r="K78" s="216">
        <v>0.09</v>
      </c>
      <c r="L78" s="216">
        <v>0.19</v>
      </c>
      <c r="M78" s="216">
        <v>0.23</v>
      </c>
      <c r="N78" s="216">
        <v>0.3</v>
      </c>
      <c r="O78" s="216">
        <v>0.19</v>
      </c>
    </row>
    <row r="79" spans="2:15" x14ac:dyDescent="0.3">
      <c r="B79" s="193" t="s">
        <v>310</v>
      </c>
      <c r="C79" s="193" t="s">
        <v>309</v>
      </c>
      <c r="D79" s="193" t="s">
        <v>311</v>
      </c>
      <c r="E79" s="216">
        <v>0.24</v>
      </c>
      <c r="F79" s="216">
        <v>0.26</v>
      </c>
      <c r="G79" s="216">
        <v>0.28000000000000003</v>
      </c>
      <c r="H79" s="216">
        <v>0.22</v>
      </c>
      <c r="I79" s="216">
        <v>0.68</v>
      </c>
      <c r="J79" s="216">
        <v>0.32</v>
      </c>
      <c r="K79" s="216">
        <v>0.1</v>
      </c>
      <c r="L79" s="216">
        <v>0.18</v>
      </c>
      <c r="M79" s="216">
        <v>0.33</v>
      </c>
      <c r="N79" s="216">
        <v>0.3</v>
      </c>
      <c r="O79" s="216">
        <v>0.08</v>
      </c>
    </row>
    <row r="80" spans="2:15" x14ac:dyDescent="0.3">
      <c r="B80" s="193" t="s">
        <v>494</v>
      </c>
      <c r="C80" s="193" t="s">
        <v>687</v>
      </c>
      <c r="D80" s="193" t="s">
        <v>311</v>
      </c>
      <c r="E80" s="216">
        <v>0.19</v>
      </c>
      <c r="F80" s="216">
        <v>0.28000000000000003</v>
      </c>
      <c r="G80" s="216">
        <v>0.24</v>
      </c>
      <c r="H80" s="216">
        <v>0.28999999999999998</v>
      </c>
      <c r="I80" s="216">
        <v>0.57999999999999996</v>
      </c>
      <c r="J80" s="216">
        <v>0.42</v>
      </c>
      <c r="K80" s="216">
        <v>0.2</v>
      </c>
      <c r="L80" s="216">
        <v>0.24</v>
      </c>
      <c r="M80" s="216">
        <v>0.27</v>
      </c>
      <c r="N80" s="216">
        <v>0.25</v>
      </c>
      <c r="O80" s="216">
        <v>0.04</v>
      </c>
    </row>
    <row r="81" spans="2:15" x14ac:dyDescent="0.3">
      <c r="B81" s="193" t="s">
        <v>325</v>
      </c>
      <c r="C81" s="193" t="s">
        <v>324</v>
      </c>
      <c r="D81" s="193" t="s">
        <v>311</v>
      </c>
      <c r="E81" s="216">
        <v>0.14000000000000001</v>
      </c>
      <c r="F81" s="216">
        <v>0.31</v>
      </c>
      <c r="G81" s="216">
        <v>0.38</v>
      </c>
      <c r="H81" s="216">
        <v>0.17</v>
      </c>
      <c r="I81" s="216">
        <v>0.62</v>
      </c>
      <c r="J81" s="216">
        <v>0.38</v>
      </c>
      <c r="K81" s="216">
        <v>0.24</v>
      </c>
      <c r="L81" s="216">
        <v>0.1</v>
      </c>
      <c r="M81" s="216">
        <v>0.14000000000000001</v>
      </c>
      <c r="N81" s="216">
        <v>0.28000000000000003</v>
      </c>
      <c r="O81" s="216">
        <v>0.24</v>
      </c>
    </row>
    <row r="82" spans="2:15" x14ac:dyDescent="0.3">
      <c r="B82" s="193" t="s">
        <v>478</v>
      </c>
      <c r="C82" s="193" t="s">
        <v>477</v>
      </c>
      <c r="D82" s="193" t="s">
        <v>311</v>
      </c>
      <c r="E82" s="216">
        <v>0.33</v>
      </c>
      <c r="F82" s="216">
        <v>0.33</v>
      </c>
      <c r="G82" s="216">
        <v>0.23</v>
      </c>
      <c r="H82" s="216">
        <v>0.1</v>
      </c>
      <c r="I82" s="216">
        <v>0.66</v>
      </c>
      <c r="J82" s="216">
        <v>0.34</v>
      </c>
      <c r="K82" s="216">
        <v>0.26</v>
      </c>
      <c r="L82" s="216">
        <v>0.22</v>
      </c>
      <c r="M82" s="216">
        <v>0.23</v>
      </c>
      <c r="N82" s="216">
        <v>0.2</v>
      </c>
      <c r="O82" s="216">
        <v>0.1</v>
      </c>
    </row>
    <row r="83" spans="2:15" x14ac:dyDescent="0.3">
      <c r="B83" s="193" t="s">
        <v>504</v>
      </c>
      <c r="C83" s="193" t="s">
        <v>702</v>
      </c>
      <c r="D83" s="193" t="s">
        <v>311</v>
      </c>
      <c r="E83" s="216">
        <v>0.45</v>
      </c>
      <c r="F83" s="216">
        <v>0.28000000000000003</v>
      </c>
      <c r="G83" s="216">
        <v>0.22</v>
      </c>
      <c r="H83" s="216">
        <v>0.06</v>
      </c>
      <c r="I83" s="216">
        <v>0.57999999999999996</v>
      </c>
      <c r="J83" s="216">
        <v>0.42</v>
      </c>
      <c r="K83" s="216">
        <v>0.33</v>
      </c>
      <c r="L83" s="216">
        <v>0.34</v>
      </c>
      <c r="M83" s="216">
        <v>0.1</v>
      </c>
      <c r="N83" s="216">
        <v>0.18</v>
      </c>
      <c r="O83" s="216">
        <v>0.05</v>
      </c>
    </row>
    <row r="84" spans="2:15" x14ac:dyDescent="0.3">
      <c r="B84" s="193" t="s">
        <v>386</v>
      </c>
      <c r="C84" s="193" t="s">
        <v>385</v>
      </c>
      <c r="D84" s="193" t="s">
        <v>311</v>
      </c>
      <c r="E84" s="216">
        <v>0.26</v>
      </c>
      <c r="F84" s="216">
        <v>0.32</v>
      </c>
      <c r="G84" s="216">
        <v>0.26</v>
      </c>
      <c r="H84" s="216">
        <v>0.16</v>
      </c>
      <c r="I84" s="216">
        <v>0.59</v>
      </c>
      <c r="J84" s="216">
        <v>0.41</v>
      </c>
      <c r="K84" s="216">
        <v>0.46</v>
      </c>
      <c r="L84" s="216">
        <v>0.3</v>
      </c>
      <c r="M84" s="216">
        <v>0.14000000000000001</v>
      </c>
      <c r="N84" s="216">
        <v>0.08</v>
      </c>
      <c r="O84" s="216">
        <v>0.02</v>
      </c>
    </row>
    <row r="85" spans="2:15" x14ac:dyDescent="0.3">
      <c r="B85" s="193" t="s">
        <v>350</v>
      </c>
      <c r="C85" s="193" t="s">
        <v>818</v>
      </c>
      <c r="D85" s="193" t="s">
        <v>311</v>
      </c>
      <c r="E85" s="216">
        <v>0.23</v>
      </c>
      <c r="F85" s="216">
        <v>0.28000000000000003</v>
      </c>
      <c r="G85" s="216">
        <v>0.32</v>
      </c>
      <c r="H85" s="216">
        <v>0.18</v>
      </c>
      <c r="I85" s="216">
        <v>0.66</v>
      </c>
      <c r="J85" s="216">
        <v>0.34</v>
      </c>
      <c r="K85" s="216">
        <v>0.53</v>
      </c>
      <c r="L85" s="216">
        <v>0.23</v>
      </c>
      <c r="M85" s="216">
        <v>0.08</v>
      </c>
      <c r="N85" s="216">
        <v>0.13</v>
      </c>
      <c r="O85" s="216">
        <v>0.04</v>
      </c>
    </row>
    <row r="86" spans="2:15" x14ac:dyDescent="0.3">
      <c r="B86" s="193" t="s">
        <v>468</v>
      </c>
      <c r="C86" s="193" t="s">
        <v>467</v>
      </c>
      <c r="D86" s="193" t="s">
        <v>764</v>
      </c>
      <c r="E86" s="216">
        <v>0.18</v>
      </c>
      <c r="F86" s="216">
        <v>0.24</v>
      </c>
      <c r="G86" s="216">
        <v>0.32</v>
      </c>
      <c r="H86" s="216">
        <v>0.26</v>
      </c>
      <c r="I86" s="216">
        <v>0.62</v>
      </c>
      <c r="J86" s="216">
        <v>0.38</v>
      </c>
      <c r="K86" s="216">
        <v>0.11</v>
      </c>
      <c r="L86" s="216">
        <v>0.22</v>
      </c>
      <c r="M86" s="216">
        <v>0.39</v>
      </c>
      <c r="N86" s="216">
        <v>0.19</v>
      </c>
      <c r="O86" s="216">
        <v>0.08</v>
      </c>
    </row>
    <row r="87" spans="2:15" x14ac:dyDescent="0.3">
      <c r="B87" s="193" t="s">
        <v>520</v>
      </c>
      <c r="C87" s="193" t="s">
        <v>519</v>
      </c>
      <c r="D87" s="193" t="s">
        <v>764</v>
      </c>
      <c r="E87" s="216">
        <v>0.36</v>
      </c>
      <c r="F87" s="216">
        <v>0.27</v>
      </c>
      <c r="G87" s="216">
        <v>0.15</v>
      </c>
      <c r="H87" s="216">
        <v>0.21</v>
      </c>
      <c r="I87" s="216">
        <v>0.61</v>
      </c>
      <c r="J87" s="216">
        <v>0.39</v>
      </c>
      <c r="K87" s="216">
        <v>0.24</v>
      </c>
      <c r="L87" s="216">
        <v>0.3</v>
      </c>
      <c r="M87" s="216">
        <v>0.12</v>
      </c>
      <c r="N87" s="216">
        <v>0.18</v>
      </c>
      <c r="O87" s="216">
        <v>0.15</v>
      </c>
    </row>
    <row r="88" spans="2:15" x14ac:dyDescent="0.3">
      <c r="B88" s="193" t="s">
        <v>416</v>
      </c>
      <c r="C88" s="193" t="s">
        <v>415</v>
      </c>
      <c r="D88" s="193" t="s">
        <v>764</v>
      </c>
      <c r="E88" s="216">
        <v>0.27</v>
      </c>
      <c r="F88" s="216">
        <v>0.25</v>
      </c>
      <c r="G88" s="216">
        <v>0.31</v>
      </c>
      <c r="H88" s="216">
        <v>0.17</v>
      </c>
      <c r="I88" s="216">
        <v>0.65</v>
      </c>
      <c r="J88" s="216">
        <v>0.35</v>
      </c>
      <c r="K88" s="216">
        <v>0.27</v>
      </c>
      <c r="L88" s="216">
        <v>0.24</v>
      </c>
      <c r="M88" s="216">
        <v>0.23</v>
      </c>
      <c r="N88" s="216">
        <v>0.15</v>
      </c>
      <c r="O88" s="216">
        <v>0.11</v>
      </c>
    </row>
    <row r="89" spans="2:15" x14ac:dyDescent="0.3">
      <c r="B89" s="193" t="s">
        <v>359</v>
      </c>
      <c r="C89" s="193" t="s">
        <v>358</v>
      </c>
      <c r="D89" s="193" t="s">
        <v>764</v>
      </c>
      <c r="E89" s="216">
        <v>0.23</v>
      </c>
      <c r="F89" s="216">
        <v>0.25</v>
      </c>
      <c r="G89" s="216">
        <v>0.33</v>
      </c>
      <c r="H89" s="216">
        <v>0.19</v>
      </c>
      <c r="I89" s="216">
        <v>0.62</v>
      </c>
      <c r="J89" s="216">
        <v>0.38</v>
      </c>
      <c r="K89" s="216">
        <v>0.27</v>
      </c>
      <c r="L89" s="216">
        <v>0.26</v>
      </c>
      <c r="M89" s="216">
        <v>0.31</v>
      </c>
      <c r="N89" s="216">
        <v>0.08</v>
      </c>
      <c r="O89" s="216">
        <v>0.08</v>
      </c>
    </row>
    <row r="90" spans="2:15" x14ac:dyDescent="0.3">
      <c r="B90" s="193" t="s">
        <v>458</v>
      </c>
      <c r="C90" s="193" t="s">
        <v>457</v>
      </c>
      <c r="D90" s="193" t="s">
        <v>764</v>
      </c>
      <c r="E90" s="216">
        <v>0.28000000000000003</v>
      </c>
      <c r="F90" s="216">
        <v>0.27</v>
      </c>
      <c r="G90" s="216">
        <v>0.32</v>
      </c>
      <c r="H90" s="216">
        <v>0.13</v>
      </c>
      <c r="I90" s="216">
        <v>0.73</v>
      </c>
      <c r="J90" s="216">
        <v>0.28000000000000003</v>
      </c>
      <c r="K90" s="216">
        <v>0.28000000000000003</v>
      </c>
      <c r="L90" s="216">
        <v>0.3</v>
      </c>
      <c r="M90" s="216">
        <v>0.28000000000000003</v>
      </c>
      <c r="N90" s="216">
        <v>0.13</v>
      </c>
      <c r="O90" s="216">
        <v>0.02</v>
      </c>
    </row>
    <row r="91" spans="2:15" x14ac:dyDescent="0.3">
      <c r="B91" s="193" t="s">
        <v>454</v>
      </c>
      <c r="C91" s="193" t="s">
        <v>692</v>
      </c>
      <c r="D91" s="193" t="s">
        <v>764</v>
      </c>
      <c r="E91" s="216">
        <v>0.16</v>
      </c>
      <c r="F91" s="216">
        <v>0.24</v>
      </c>
      <c r="G91" s="216">
        <v>0.3</v>
      </c>
      <c r="H91" s="216">
        <v>0.3</v>
      </c>
      <c r="I91" s="216">
        <v>0.59</v>
      </c>
      <c r="J91" s="216">
        <v>0.41</v>
      </c>
      <c r="K91" s="216">
        <v>0.33</v>
      </c>
      <c r="L91" s="216">
        <v>0.33</v>
      </c>
      <c r="M91" s="216">
        <v>0.19</v>
      </c>
      <c r="N91" s="216">
        <v>0.11</v>
      </c>
      <c r="O91" s="216">
        <v>0.04</v>
      </c>
    </row>
    <row r="92" spans="2:15" x14ac:dyDescent="0.3">
      <c r="B92" s="193" t="s">
        <v>392</v>
      </c>
      <c r="C92" s="193" t="s">
        <v>391</v>
      </c>
      <c r="D92" s="193" t="s">
        <v>320</v>
      </c>
      <c r="E92" s="216">
        <v>0.28999999999999998</v>
      </c>
      <c r="F92" s="216">
        <v>0.28000000000000003</v>
      </c>
      <c r="G92" s="216">
        <v>0.33</v>
      </c>
      <c r="H92" s="216">
        <v>0.1</v>
      </c>
      <c r="I92" s="216">
        <v>0.63</v>
      </c>
      <c r="J92" s="216">
        <v>0.37</v>
      </c>
      <c r="K92" s="216">
        <v>0.08</v>
      </c>
      <c r="L92" s="216">
        <v>0.21</v>
      </c>
      <c r="M92" s="216">
        <v>0.25</v>
      </c>
      <c r="N92" s="216">
        <v>0.31</v>
      </c>
      <c r="O92" s="216">
        <v>0.14000000000000001</v>
      </c>
    </row>
    <row r="93" spans="2:15" x14ac:dyDescent="0.3">
      <c r="B93" s="193" t="s">
        <v>364</v>
      </c>
      <c r="C93" s="193" t="s">
        <v>363</v>
      </c>
      <c r="D93" s="193" t="s">
        <v>320</v>
      </c>
      <c r="E93" s="216">
        <v>0.43</v>
      </c>
      <c r="F93" s="216">
        <v>0.28999999999999998</v>
      </c>
      <c r="G93" s="216">
        <v>0.23</v>
      </c>
      <c r="H93" s="216">
        <v>0.06</v>
      </c>
      <c r="I93" s="216">
        <v>0.66</v>
      </c>
      <c r="J93" s="216">
        <v>0.34</v>
      </c>
      <c r="K93" s="216">
        <v>0.09</v>
      </c>
      <c r="L93" s="216">
        <v>0.17</v>
      </c>
      <c r="M93" s="216">
        <v>0.18</v>
      </c>
      <c r="N93" s="216">
        <v>0.35</v>
      </c>
      <c r="O93" s="216">
        <v>0.22</v>
      </c>
    </row>
    <row r="94" spans="2:15" x14ac:dyDescent="0.3">
      <c r="B94" s="193" t="s">
        <v>384</v>
      </c>
      <c r="C94" s="193" t="s">
        <v>383</v>
      </c>
      <c r="D94" s="193" t="s">
        <v>320</v>
      </c>
      <c r="E94" s="216">
        <v>0.35</v>
      </c>
      <c r="F94" s="216">
        <v>0.23</v>
      </c>
      <c r="G94" s="216">
        <v>0.25</v>
      </c>
      <c r="H94" s="216">
        <v>0.17</v>
      </c>
      <c r="I94" s="216">
        <v>0.59</v>
      </c>
      <c r="J94" s="216">
        <v>0.41</v>
      </c>
      <c r="K94" s="216">
        <v>0.19</v>
      </c>
      <c r="L94" s="216">
        <v>0.18</v>
      </c>
      <c r="M94" s="216">
        <v>0.2</v>
      </c>
      <c r="N94" s="216">
        <v>0.28999999999999998</v>
      </c>
      <c r="O94" s="216">
        <v>0.13</v>
      </c>
    </row>
    <row r="95" spans="2:15" x14ac:dyDescent="0.3">
      <c r="B95" s="193" t="s">
        <v>502</v>
      </c>
      <c r="C95" s="193" t="s">
        <v>693</v>
      </c>
      <c r="D95" s="193" t="s">
        <v>277</v>
      </c>
      <c r="E95" s="216">
        <v>0.24</v>
      </c>
      <c r="F95" s="216">
        <v>0.24</v>
      </c>
      <c r="G95" s="216">
        <v>0.31</v>
      </c>
      <c r="H95" s="216">
        <v>0.21</v>
      </c>
      <c r="I95" s="216">
        <v>0.57999999999999996</v>
      </c>
      <c r="J95" s="216">
        <v>0.42</v>
      </c>
      <c r="K95" s="216">
        <v>0.03</v>
      </c>
      <c r="L95" s="216">
        <v>0.2</v>
      </c>
      <c r="M95" s="216">
        <v>0.15</v>
      </c>
      <c r="N95" s="216">
        <v>0.27</v>
      </c>
      <c r="O95" s="216">
        <v>0.35</v>
      </c>
    </row>
    <row r="96" spans="2:15" x14ac:dyDescent="0.3">
      <c r="B96" s="193" t="s">
        <v>276</v>
      </c>
      <c r="C96" s="193" t="s">
        <v>15</v>
      </c>
      <c r="D96" s="193" t="s">
        <v>277</v>
      </c>
      <c r="E96" s="216">
        <v>0.23</v>
      </c>
      <c r="F96" s="216">
        <v>0.26</v>
      </c>
      <c r="G96" s="216">
        <v>0.31</v>
      </c>
      <c r="H96" s="216">
        <v>0.2</v>
      </c>
      <c r="I96" s="216">
        <v>0.66</v>
      </c>
      <c r="J96" s="216">
        <v>0.34</v>
      </c>
      <c r="K96" s="216">
        <v>0.06</v>
      </c>
      <c r="L96" s="216">
        <v>0.13</v>
      </c>
      <c r="M96" s="216">
        <v>0.19</v>
      </c>
      <c r="N96" s="216">
        <v>0.18</v>
      </c>
      <c r="O96" s="216">
        <v>0.44</v>
      </c>
    </row>
    <row r="97" spans="2:15" x14ac:dyDescent="0.3">
      <c r="B97" s="193" t="s">
        <v>330</v>
      </c>
      <c r="C97" s="193" t="s">
        <v>329</v>
      </c>
      <c r="D97" s="193" t="s">
        <v>277</v>
      </c>
      <c r="E97" s="216">
        <v>0.26</v>
      </c>
      <c r="F97" s="216">
        <v>0.28000000000000003</v>
      </c>
      <c r="G97" s="216">
        <v>0.28000000000000003</v>
      </c>
      <c r="H97" s="216">
        <v>0.18</v>
      </c>
      <c r="I97" s="216">
        <v>0.59</v>
      </c>
      <c r="J97" s="216">
        <v>0.41</v>
      </c>
      <c r="K97" s="216">
        <v>0.08</v>
      </c>
      <c r="L97" s="216">
        <v>0.17</v>
      </c>
      <c r="M97" s="216">
        <v>0.18</v>
      </c>
      <c r="N97" s="216">
        <v>0.21</v>
      </c>
      <c r="O97" s="216">
        <v>0.36</v>
      </c>
    </row>
    <row r="98" spans="2:15" x14ac:dyDescent="0.3">
      <c r="B98" s="193" t="s">
        <v>462</v>
      </c>
      <c r="C98" s="193" t="s">
        <v>461</v>
      </c>
      <c r="D98" s="193" t="s">
        <v>277</v>
      </c>
      <c r="E98" s="216">
        <v>0.28999999999999998</v>
      </c>
      <c r="F98" s="216">
        <v>0.26</v>
      </c>
      <c r="G98" s="216">
        <v>0.28999999999999998</v>
      </c>
      <c r="H98" s="216">
        <v>0.17</v>
      </c>
      <c r="I98" s="216">
        <v>0.61</v>
      </c>
      <c r="J98" s="216">
        <v>0.39</v>
      </c>
      <c r="K98" s="216">
        <v>0.24</v>
      </c>
      <c r="L98" s="216">
        <v>0.18</v>
      </c>
      <c r="M98" s="216">
        <v>0.16</v>
      </c>
      <c r="N98" s="216">
        <v>0.15</v>
      </c>
      <c r="O98" s="216">
        <v>0.27</v>
      </c>
    </row>
    <row r="99" spans="2:15" x14ac:dyDescent="0.3">
      <c r="B99" s="193" t="s">
        <v>314</v>
      </c>
      <c r="C99" s="193" t="s">
        <v>313</v>
      </c>
      <c r="D99" s="193" t="s">
        <v>277</v>
      </c>
      <c r="E99" s="216">
        <v>0.21</v>
      </c>
      <c r="F99" s="216">
        <v>0.25</v>
      </c>
      <c r="G99" s="216">
        <v>0.32</v>
      </c>
      <c r="H99" s="216">
        <v>0.21</v>
      </c>
      <c r="I99" s="216">
        <v>0.56000000000000005</v>
      </c>
      <c r="J99" s="216">
        <v>0.44</v>
      </c>
      <c r="K99" s="216">
        <v>0.25</v>
      </c>
      <c r="L99" s="216">
        <v>0.19</v>
      </c>
      <c r="M99" s="216">
        <v>0.18</v>
      </c>
      <c r="N99" s="216">
        <v>0.23</v>
      </c>
      <c r="O99" s="216">
        <v>0.15</v>
      </c>
    </row>
    <row r="100" spans="2:15" x14ac:dyDescent="0.3">
      <c r="B100" s="193" t="s">
        <v>348</v>
      </c>
      <c r="C100" s="193" t="s">
        <v>347</v>
      </c>
      <c r="D100" s="193" t="s">
        <v>268</v>
      </c>
      <c r="E100" s="216">
        <v>0.23</v>
      </c>
      <c r="F100" s="216">
        <v>0.26</v>
      </c>
      <c r="G100" s="216">
        <v>0.38</v>
      </c>
      <c r="H100" s="216">
        <v>0.13</v>
      </c>
      <c r="I100" s="216">
        <v>0.65</v>
      </c>
      <c r="J100" s="216">
        <v>0.35</v>
      </c>
      <c r="K100" s="216">
        <v>0.1</v>
      </c>
      <c r="L100" s="216">
        <v>0.23</v>
      </c>
      <c r="M100" s="216">
        <v>0.28000000000000003</v>
      </c>
      <c r="N100" s="216">
        <v>0.21</v>
      </c>
      <c r="O100" s="216">
        <v>0.17</v>
      </c>
    </row>
    <row r="101" spans="2:15" x14ac:dyDescent="0.3">
      <c r="B101" s="193" t="s">
        <v>534</v>
      </c>
      <c r="C101" s="193" t="s">
        <v>533</v>
      </c>
      <c r="D101" s="193" t="s">
        <v>268</v>
      </c>
      <c r="E101" s="216">
        <v>0.21</v>
      </c>
      <c r="F101" s="216">
        <v>0.26</v>
      </c>
      <c r="G101" s="216">
        <v>0.32</v>
      </c>
      <c r="H101" s="216">
        <v>0.22</v>
      </c>
      <c r="I101" s="216">
        <v>0.64</v>
      </c>
      <c r="J101" s="216">
        <v>0.36</v>
      </c>
      <c r="K101" s="216">
        <v>0.24</v>
      </c>
      <c r="L101" s="216">
        <v>0.27</v>
      </c>
      <c r="M101" s="216">
        <v>0.27</v>
      </c>
      <c r="N101" s="216">
        <v>0.14000000000000001</v>
      </c>
      <c r="O101" s="216">
        <v>7.0000000000000007E-2</v>
      </c>
    </row>
    <row r="102" spans="2:15" x14ac:dyDescent="0.3">
      <c r="B102" s="193" t="s">
        <v>484</v>
      </c>
      <c r="C102" s="193" t="s">
        <v>483</v>
      </c>
      <c r="D102" s="193" t="s">
        <v>268</v>
      </c>
      <c r="E102" s="216">
        <v>0.28000000000000003</v>
      </c>
      <c r="F102" s="216">
        <v>0.22</v>
      </c>
      <c r="G102" s="216">
        <v>0.28000000000000003</v>
      </c>
      <c r="H102" s="216">
        <v>0.21</v>
      </c>
      <c r="I102" s="216">
        <v>0.6</v>
      </c>
      <c r="J102" s="216">
        <v>0.4</v>
      </c>
      <c r="K102" s="216">
        <v>0.32</v>
      </c>
      <c r="L102" s="216">
        <v>0.25</v>
      </c>
      <c r="M102" s="216">
        <v>0.22</v>
      </c>
      <c r="N102" s="216">
        <v>0.2</v>
      </c>
      <c r="O102" s="216">
        <v>0.01</v>
      </c>
    </row>
    <row r="103" spans="2:15" x14ac:dyDescent="0.3">
      <c r="B103" s="193" t="s">
        <v>267</v>
      </c>
      <c r="C103" s="193" t="s">
        <v>266</v>
      </c>
      <c r="D103" s="193" t="s">
        <v>268</v>
      </c>
      <c r="E103" s="216">
        <v>0.3</v>
      </c>
      <c r="F103" s="216">
        <v>0.26</v>
      </c>
      <c r="G103" s="216">
        <v>0.27</v>
      </c>
      <c r="H103" s="216">
        <v>0.17</v>
      </c>
      <c r="I103" s="216">
        <v>0.67</v>
      </c>
      <c r="J103" s="216">
        <v>0.33</v>
      </c>
      <c r="K103" s="216">
        <v>0.4</v>
      </c>
      <c r="L103" s="216">
        <v>0.23</v>
      </c>
      <c r="M103" s="216">
        <v>0.25</v>
      </c>
      <c r="N103" s="216">
        <v>0.11</v>
      </c>
      <c r="O103" s="216">
        <v>0.01</v>
      </c>
    </row>
    <row r="104" spans="2:15" x14ac:dyDescent="0.3">
      <c r="B104" s="193" t="s">
        <v>352</v>
      </c>
      <c r="C104" s="193" t="s">
        <v>351</v>
      </c>
      <c r="D104" s="193" t="s">
        <v>268</v>
      </c>
      <c r="E104" s="216">
        <v>0.25</v>
      </c>
      <c r="F104" s="216">
        <v>0.26</v>
      </c>
      <c r="G104" s="216">
        <v>0.28000000000000003</v>
      </c>
      <c r="H104" s="216">
        <v>0.2</v>
      </c>
      <c r="I104" s="216">
        <v>0.64</v>
      </c>
      <c r="J104" s="216">
        <v>0.36</v>
      </c>
      <c r="K104" s="216">
        <v>0.46</v>
      </c>
      <c r="L104" s="216">
        <v>0.2</v>
      </c>
      <c r="M104" s="216">
        <v>0.16</v>
      </c>
      <c r="N104" s="216">
        <v>0.15</v>
      </c>
      <c r="O104" s="216">
        <v>0.03</v>
      </c>
    </row>
    <row r="105" spans="2:15" x14ac:dyDescent="0.3">
      <c r="B105" s="193" t="s">
        <v>452</v>
      </c>
      <c r="C105" s="193" t="s">
        <v>451</v>
      </c>
      <c r="D105" s="193" t="s">
        <v>268</v>
      </c>
      <c r="E105" s="216">
        <v>0.21</v>
      </c>
      <c r="F105" s="216">
        <v>0.27</v>
      </c>
      <c r="G105" s="216">
        <v>0.34</v>
      </c>
      <c r="H105" s="216">
        <v>0.18</v>
      </c>
      <c r="I105" s="216">
        <v>0.73</v>
      </c>
      <c r="J105" s="216">
        <v>0.27</v>
      </c>
      <c r="K105" s="216">
        <v>0.61</v>
      </c>
      <c r="L105" s="216">
        <v>0.23</v>
      </c>
      <c r="M105" s="216">
        <v>0.09</v>
      </c>
      <c r="N105" s="216">
        <v>0.06</v>
      </c>
      <c r="O105" s="216">
        <v>0.01</v>
      </c>
    </row>
    <row r="106" spans="2:15" x14ac:dyDescent="0.3">
      <c r="B106" s="193" t="s">
        <v>362</v>
      </c>
      <c r="C106" s="193" t="s">
        <v>361</v>
      </c>
      <c r="D106" s="193" t="s">
        <v>300</v>
      </c>
      <c r="E106" s="216">
        <v>0.28000000000000003</v>
      </c>
      <c r="F106" s="216">
        <v>0.28000000000000003</v>
      </c>
      <c r="G106" s="216">
        <v>0.28999999999999998</v>
      </c>
      <c r="H106" s="216">
        <v>0.15</v>
      </c>
      <c r="I106" s="216">
        <v>0.66</v>
      </c>
      <c r="J106" s="216">
        <v>0.34</v>
      </c>
      <c r="K106" s="216">
        <v>0.26</v>
      </c>
      <c r="L106" s="216">
        <v>0.36</v>
      </c>
      <c r="M106" s="216">
        <v>0.16</v>
      </c>
      <c r="N106" s="216">
        <v>0.13</v>
      </c>
      <c r="O106" s="216">
        <v>0.09</v>
      </c>
    </row>
    <row r="107" spans="2:15" x14ac:dyDescent="0.3">
      <c r="B107" s="193" t="s">
        <v>435</v>
      </c>
      <c r="C107" s="193" t="s">
        <v>434</v>
      </c>
      <c r="D107" s="193" t="s">
        <v>300</v>
      </c>
      <c r="E107" s="216">
        <v>0.26</v>
      </c>
      <c r="F107" s="216">
        <v>0.25</v>
      </c>
      <c r="G107" s="216">
        <v>0.3</v>
      </c>
      <c r="H107" s="216">
        <v>0.19</v>
      </c>
      <c r="I107" s="216">
        <v>0.62</v>
      </c>
      <c r="J107" s="216">
        <v>0.38</v>
      </c>
      <c r="K107" s="216">
        <v>0.44</v>
      </c>
      <c r="L107" s="216">
        <v>0.28000000000000003</v>
      </c>
      <c r="M107" s="216">
        <v>0.15</v>
      </c>
      <c r="N107" s="216">
        <v>0.1</v>
      </c>
      <c r="O107" s="216">
        <v>0.03</v>
      </c>
    </row>
    <row r="108" spans="2:15" x14ac:dyDescent="0.3">
      <c r="B108" s="193" t="s">
        <v>444</v>
      </c>
      <c r="C108" s="193" t="s">
        <v>443</v>
      </c>
      <c r="D108" s="193" t="s">
        <v>300</v>
      </c>
      <c r="E108" s="216">
        <v>0.31</v>
      </c>
      <c r="F108" s="216">
        <v>0.28000000000000003</v>
      </c>
      <c r="G108" s="216">
        <v>0.25</v>
      </c>
      <c r="H108" s="216">
        <v>0.16</v>
      </c>
      <c r="I108" s="216">
        <v>0.63</v>
      </c>
      <c r="J108" s="216">
        <v>0.37</v>
      </c>
      <c r="K108" s="216">
        <v>0.54</v>
      </c>
      <c r="L108" s="216">
        <v>0.19</v>
      </c>
      <c r="M108" s="216">
        <v>0.13</v>
      </c>
      <c r="N108" s="216">
        <v>0.12</v>
      </c>
      <c r="O108" s="216">
        <v>0.02</v>
      </c>
    </row>
    <row r="109" spans="2:15" x14ac:dyDescent="0.3">
      <c r="B109" s="193" t="s">
        <v>299</v>
      </c>
      <c r="C109" s="193" t="s">
        <v>298</v>
      </c>
      <c r="D109" s="193" t="s">
        <v>300</v>
      </c>
      <c r="E109" s="216">
        <v>0.23</v>
      </c>
      <c r="F109" s="216">
        <v>0.26</v>
      </c>
      <c r="G109" s="216">
        <v>0.32</v>
      </c>
      <c r="H109" s="216">
        <v>0.18</v>
      </c>
      <c r="I109" s="216">
        <v>0.7</v>
      </c>
      <c r="J109" s="216">
        <v>0.3</v>
      </c>
      <c r="K109" s="216">
        <v>0.6</v>
      </c>
      <c r="L109" s="216">
        <v>0.19</v>
      </c>
      <c r="M109" s="216">
        <v>0.14000000000000001</v>
      </c>
      <c r="N109" s="216">
        <v>7.0000000000000007E-2</v>
      </c>
      <c r="O109" s="216">
        <v>0</v>
      </c>
    </row>
    <row r="110" spans="2:15" x14ac:dyDescent="0.3">
      <c r="B110" s="193" t="s">
        <v>378</v>
      </c>
      <c r="C110" s="193" t="s">
        <v>810</v>
      </c>
      <c r="D110" s="193" t="s">
        <v>331</v>
      </c>
      <c r="E110" s="216">
        <v>0.11</v>
      </c>
      <c r="F110" s="216">
        <v>0.3</v>
      </c>
      <c r="G110" s="216">
        <v>0.34</v>
      </c>
      <c r="H110" s="216">
        <v>0.26</v>
      </c>
      <c r="I110" s="216">
        <v>0.75</v>
      </c>
      <c r="J110" s="216">
        <v>0.25</v>
      </c>
      <c r="K110" s="216">
        <v>0.01</v>
      </c>
      <c r="L110" s="216">
        <v>0.19</v>
      </c>
      <c r="M110" s="216">
        <v>0.28999999999999998</v>
      </c>
      <c r="N110" s="216">
        <v>0.4</v>
      </c>
      <c r="O110" s="216">
        <v>0.12</v>
      </c>
    </row>
    <row r="111" spans="2:15" x14ac:dyDescent="0.3">
      <c r="B111" s="193" t="s">
        <v>333</v>
      </c>
      <c r="C111" s="193" t="s">
        <v>332</v>
      </c>
      <c r="D111" s="193" t="s">
        <v>331</v>
      </c>
      <c r="E111" s="216">
        <v>0.12</v>
      </c>
      <c r="F111" s="216">
        <v>0.31</v>
      </c>
      <c r="G111" s="216">
        <v>0.36</v>
      </c>
      <c r="H111" s="216">
        <v>0.21</v>
      </c>
      <c r="I111" s="216">
        <v>0.57999999999999996</v>
      </c>
      <c r="J111" s="216">
        <v>0.42</v>
      </c>
      <c r="K111" s="216">
        <v>7.0000000000000007E-2</v>
      </c>
      <c r="L111" s="216">
        <v>0.31</v>
      </c>
      <c r="M111" s="216">
        <v>0.36</v>
      </c>
      <c r="N111" s="216">
        <v>0.19</v>
      </c>
      <c r="O111" s="216">
        <v>7.0000000000000007E-2</v>
      </c>
    </row>
    <row r="112" spans="2:15" x14ac:dyDescent="0.3">
      <c r="B112" s="193" t="s">
        <v>442</v>
      </c>
      <c r="C112" s="193" t="s">
        <v>695</v>
      </c>
      <c r="D112" s="193" t="s">
        <v>331</v>
      </c>
      <c r="E112" s="216">
        <v>0.3</v>
      </c>
      <c r="F112" s="216">
        <v>0.3</v>
      </c>
      <c r="G112" s="216">
        <v>0.31</v>
      </c>
      <c r="H112" s="216">
        <v>0.09</v>
      </c>
      <c r="I112" s="216">
        <v>0.66</v>
      </c>
      <c r="J112" s="216">
        <v>0.34</v>
      </c>
      <c r="K112" s="216">
        <v>0.27</v>
      </c>
      <c r="L112" s="216">
        <v>0.22</v>
      </c>
      <c r="M112" s="216">
        <v>0.18</v>
      </c>
      <c r="N112" s="216">
        <v>0.15</v>
      </c>
      <c r="O112" s="216">
        <v>0.18</v>
      </c>
    </row>
    <row r="113" spans="2:15" x14ac:dyDescent="0.3">
      <c r="B113" s="193" t="s">
        <v>516</v>
      </c>
      <c r="C113" s="193" t="s">
        <v>515</v>
      </c>
      <c r="D113" s="193" t="s">
        <v>331</v>
      </c>
      <c r="E113" s="216">
        <v>0.23</v>
      </c>
      <c r="F113" s="216">
        <v>0.27</v>
      </c>
      <c r="G113" s="216">
        <v>0.33</v>
      </c>
      <c r="H113" s="216">
        <v>0.18</v>
      </c>
      <c r="I113" s="216">
        <v>0.67</v>
      </c>
      <c r="J113" s="216">
        <v>0.33</v>
      </c>
      <c r="K113" s="216">
        <v>0.28000000000000003</v>
      </c>
      <c r="L113" s="216">
        <v>0.2</v>
      </c>
      <c r="M113" s="216">
        <v>0.18</v>
      </c>
      <c r="N113" s="216">
        <v>0.18</v>
      </c>
      <c r="O113" s="216">
        <v>0.16</v>
      </c>
    </row>
    <row r="114" spans="2:15" x14ac:dyDescent="0.3">
      <c r="B114" s="193" t="s">
        <v>524</v>
      </c>
      <c r="C114" s="193" t="s">
        <v>523</v>
      </c>
      <c r="D114" s="193" t="s">
        <v>331</v>
      </c>
      <c r="E114" s="216">
        <v>0.21</v>
      </c>
      <c r="F114" s="216">
        <v>0.24</v>
      </c>
      <c r="G114" s="216">
        <v>0.33</v>
      </c>
      <c r="H114" s="216">
        <v>0.22</v>
      </c>
      <c r="I114" s="216">
        <v>0.61</v>
      </c>
      <c r="J114" s="216">
        <v>0.39</v>
      </c>
      <c r="K114" s="216">
        <v>0.3</v>
      </c>
      <c r="L114" s="216">
        <v>0.26</v>
      </c>
      <c r="M114" s="216">
        <v>0.21</v>
      </c>
      <c r="N114" s="216">
        <v>0.17</v>
      </c>
      <c r="O114" s="216">
        <v>0.06</v>
      </c>
    </row>
    <row r="115" spans="2:15" x14ac:dyDescent="0.3">
      <c r="B115" s="193" t="s">
        <v>367</v>
      </c>
      <c r="C115" s="193" t="s">
        <v>366</v>
      </c>
      <c r="D115" s="193" t="s">
        <v>331</v>
      </c>
      <c r="E115" s="216">
        <v>0.23</v>
      </c>
      <c r="F115" s="216">
        <v>0.2</v>
      </c>
      <c r="G115" s="216">
        <v>0.37</v>
      </c>
      <c r="H115" s="216">
        <v>0.21</v>
      </c>
      <c r="I115" s="216">
        <v>0.63</v>
      </c>
      <c r="J115" s="216">
        <v>0.37</v>
      </c>
      <c r="K115" s="216">
        <v>0.46</v>
      </c>
      <c r="L115" s="216">
        <v>0.28000000000000003</v>
      </c>
      <c r="M115" s="216">
        <v>0.14000000000000001</v>
      </c>
      <c r="N115" s="216">
        <v>0.12</v>
      </c>
      <c r="O115" s="216">
        <v>0</v>
      </c>
    </row>
    <row r="116" spans="2:15" x14ac:dyDescent="0.3">
      <c r="B116" s="193" t="s">
        <v>460</v>
      </c>
      <c r="C116" s="193" t="s">
        <v>459</v>
      </c>
      <c r="D116" s="193" t="s">
        <v>335</v>
      </c>
      <c r="E116" s="216">
        <v>0.35</v>
      </c>
      <c r="F116" s="216">
        <v>0.25</v>
      </c>
      <c r="G116" s="216">
        <v>0.24</v>
      </c>
      <c r="H116" s="216">
        <v>0.17</v>
      </c>
      <c r="I116" s="216">
        <v>0.64</v>
      </c>
      <c r="J116" s="216">
        <v>0.36</v>
      </c>
      <c r="K116" s="216">
        <v>0.01</v>
      </c>
      <c r="L116" s="216">
        <v>0.03</v>
      </c>
      <c r="M116" s="216">
        <v>0.12</v>
      </c>
      <c r="N116" s="216">
        <v>0.19</v>
      </c>
      <c r="O116" s="216">
        <v>0.65</v>
      </c>
    </row>
    <row r="117" spans="2:15" x14ac:dyDescent="0.3">
      <c r="B117" s="193" t="s">
        <v>356</v>
      </c>
      <c r="C117" s="193" t="s">
        <v>355</v>
      </c>
      <c r="D117" s="193" t="s">
        <v>335</v>
      </c>
      <c r="E117" s="216">
        <v>0.35</v>
      </c>
      <c r="F117" s="216">
        <v>0.28000000000000003</v>
      </c>
      <c r="G117" s="216">
        <v>0.28000000000000003</v>
      </c>
      <c r="H117" s="216">
        <v>0.1</v>
      </c>
      <c r="I117" s="216">
        <v>0.67</v>
      </c>
      <c r="J117" s="216">
        <v>0.33</v>
      </c>
      <c r="K117" s="216">
        <v>0.1</v>
      </c>
      <c r="L117" s="216">
        <v>0.24</v>
      </c>
      <c r="M117" s="216">
        <v>0.19</v>
      </c>
      <c r="N117" s="216">
        <v>0.25</v>
      </c>
      <c r="O117" s="216">
        <v>0.22</v>
      </c>
    </row>
    <row r="118" spans="2:15" x14ac:dyDescent="0.3">
      <c r="B118" s="193" t="s">
        <v>550</v>
      </c>
      <c r="C118" s="193" t="s">
        <v>549</v>
      </c>
      <c r="D118" s="193" t="s">
        <v>335</v>
      </c>
      <c r="E118" s="216">
        <v>0.26</v>
      </c>
      <c r="F118" s="216">
        <v>0.24</v>
      </c>
      <c r="G118" s="216">
        <v>0.26</v>
      </c>
      <c r="H118" s="216">
        <v>0.24</v>
      </c>
      <c r="I118" s="216">
        <v>0.68</v>
      </c>
      <c r="J118" s="216">
        <v>0.32</v>
      </c>
      <c r="K118" s="216">
        <v>0.11</v>
      </c>
      <c r="L118" s="216">
        <v>0.24</v>
      </c>
      <c r="M118" s="216">
        <v>0.37</v>
      </c>
      <c r="N118" s="216">
        <v>0.14000000000000001</v>
      </c>
      <c r="O118" s="216">
        <v>0.14000000000000001</v>
      </c>
    </row>
    <row r="119" spans="2:15" x14ac:dyDescent="0.3">
      <c r="B119" s="193" t="s">
        <v>518</v>
      </c>
      <c r="C119" s="193" t="s">
        <v>517</v>
      </c>
      <c r="D119" s="193" t="s">
        <v>335</v>
      </c>
      <c r="E119" s="216">
        <v>0.36</v>
      </c>
      <c r="F119" s="216">
        <v>0.26</v>
      </c>
      <c r="G119" s="216">
        <v>0.28000000000000003</v>
      </c>
      <c r="H119" s="216">
        <v>0.1</v>
      </c>
      <c r="I119" s="216">
        <v>0.63</v>
      </c>
      <c r="J119" s="216">
        <v>0.37</v>
      </c>
      <c r="K119" s="216">
        <v>0.11</v>
      </c>
      <c r="L119" s="216">
        <v>0.13</v>
      </c>
      <c r="M119" s="216">
        <v>0.16</v>
      </c>
      <c r="N119" s="216">
        <v>0.21</v>
      </c>
      <c r="O119" s="216">
        <v>0.39</v>
      </c>
    </row>
    <row r="120" spans="2:15" x14ac:dyDescent="0.3">
      <c r="B120" s="193" t="s">
        <v>506</v>
      </c>
      <c r="C120" s="193" t="s">
        <v>699</v>
      </c>
      <c r="D120" s="193" t="s">
        <v>335</v>
      </c>
      <c r="E120" s="216">
        <v>0.32</v>
      </c>
      <c r="F120" s="216">
        <v>0.23</v>
      </c>
      <c r="G120" s="216">
        <v>0.28999999999999998</v>
      </c>
      <c r="H120" s="216">
        <v>0.16</v>
      </c>
      <c r="I120" s="216">
        <v>0.63</v>
      </c>
      <c r="J120" s="216">
        <v>0.38</v>
      </c>
      <c r="K120" s="216">
        <v>0.11</v>
      </c>
      <c r="L120" s="216">
        <v>0.2</v>
      </c>
      <c r="M120" s="216">
        <v>0.15</v>
      </c>
      <c r="N120" s="216">
        <v>0.2</v>
      </c>
      <c r="O120" s="216">
        <v>0.34</v>
      </c>
    </row>
    <row r="121" spans="2:15" x14ac:dyDescent="0.3">
      <c r="B121" s="193" t="s">
        <v>466</v>
      </c>
      <c r="C121" s="193" t="s">
        <v>465</v>
      </c>
      <c r="D121" s="193" t="s">
        <v>335</v>
      </c>
      <c r="E121" s="216">
        <v>0.2</v>
      </c>
      <c r="F121" s="216">
        <v>0.25</v>
      </c>
      <c r="G121" s="216">
        <v>0.34</v>
      </c>
      <c r="H121" s="216">
        <v>0.21</v>
      </c>
      <c r="I121" s="216">
        <v>0.67</v>
      </c>
      <c r="J121" s="216">
        <v>0.33</v>
      </c>
      <c r="K121" s="216">
        <v>0.14000000000000001</v>
      </c>
      <c r="L121" s="216">
        <v>0.25</v>
      </c>
      <c r="M121" s="216">
        <v>0.27</v>
      </c>
      <c r="N121" s="216">
        <v>0.22</v>
      </c>
      <c r="O121" s="216">
        <v>0.12</v>
      </c>
    </row>
    <row r="122" spans="2:15" x14ac:dyDescent="0.3">
      <c r="B122" s="193" t="s">
        <v>536</v>
      </c>
      <c r="C122" s="193" t="s">
        <v>535</v>
      </c>
      <c r="D122" s="193" t="s">
        <v>335</v>
      </c>
      <c r="E122" s="216">
        <v>0.27</v>
      </c>
      <c r="F122" s="216">
        <v>0.18</v>
      </c>
      <c r="G122" s="216">
        <v>0.39</v>
      </c>
      <c r="H122" s="216">
        <v>0.15</v>
      </c>
      <c r="I122" s="216">
        <v>0.65</v>
      </c>
      <c r="J122" s="216">
        <v>0.35</v>
      </c>
      <c r="K122" s="216">
        <v>0.14000000000000001</v>
      </c>
      <c r="L122" s="216">
        <v>0.14000000000000001</v>
      </c>
      <c r="M122" s="216">
        <v>0.23</v>
      </c>
      <c r="N122" s="216">
        <v>0.18</v>
      </c>
      <c r="O122" s="216">
        <v>0.32</v>
      </c>
    </row>
    <row r="123" spans="2:15" x14ac:dyDescent="0.3">
      <c r="B123" s="193" t="s">
        <v>532</v>
      </c>
      <c r="C123" s="193" t="s">
        <v>813</v>
      </c>
      <c r="D123" s="193" t="s">
        <v>335</v>
      </c>
      <c r="E123" s="216">
        <v>0.31</v>
      </c>
      <c r="F123" s="216">
        <v>0.24</v>
      </c>
      <c r="G123" s="216">
        <v>0.32</v>
      </c>
      <c r="H123" s="216">
        <v>0.13</v>
      </c>
      <c r="I123" s="216">
        <v>0.66</v>
      </c>
      <c r="J123" s="216">
        <v>0.34</v>
      </c>
      <c r="K123" s="216">
        <v>0.17</v>
      </c>
      <c r="L123" s="216">
        <v>0.23</v>
      </c>
      <c r="M123" s="216">
        <v>0.2</v>
      </c>
      <c r="N123" s="216">
        <v>0.22</v>
      </c>
      <c r="O123" s="216">
        <v>0.19</v>
      </c>
    </row>
    <row r="124" spans="2:15" x14ac:dyDescent="0.3">
      <c r="B124" s="193" t="s">
        <v>492</v>
      </c>
      <c r="C124" s="193" t="s">
        <v>701</v>
      </c>
      <c r="D124" s="193" t="s">
        <v>335</v>
      </c>
      <c r="E124" s="216">
        <v>0.2</v>
      </c>
      <c r="F124" s="216">
        <v>0.19</v>
      </c>
      <c r="G124" s="216">
        <v>0.38</v>
      </c>
      <c r="H124" s="216">
        <v>0.22</v>
      </c>
      <c r="I124" s="216">
        <v>0.65</v>
      </c>
      <c r="J124" s="216">
        <v>0.35</v>
      </c>
      <c r="K124" s="216">
        <v>0.19</v>
      </c>
      <c r="L124" s="216">
        <v>0.2</v>
      </c>
      <c r="M124" s="216">
        <v>0.13</v>
      </c>
      <c r="N124" s="216">
        <v>0.24</v>
      </c>
      <c r="O124" s="216">
        <v>0.24</v>
      </c>
    </row>
    <row r="125" spans="2:15" x14ac:dyDescent="0.3">
      <c r="B125" s="193" t="s">
        <v>546</v>
      </c>
      <c r="C125" s="193" t="s">
        <v>545</v>
      </c>
      <c r="D125" s="193" t="s">
        <v>335</v>
      </c>
      <c r="E125" s="216">
        <v>0.21</v>
      </c>
      <c r="F125" s="216">
        <v>0.26</v>
      </c>
      <c r="G125" s="216">
        <v>0.32</v>
      </c>
      <c r="H125" s="216">
        <v>0.21</v>
      </c>
      <c r="I125" s="216">
        <v>0.67</v>
      </c>
      <c r="J125" s="216">
        <v>0.33</v>
      </c>
      <c r="K125" s="216">
        <v>0.21</v>
      </c>
      <c r="L125" s="216">
        <v>0.3</v>
      </c>
      <c r="M125" s="216">
        <v>0.25</v>
      </c>
      <c r="N125" s="216">
        <v>0.14000000000000001</v>
      </c>
      <c r="O125" s="216">
        <v>0.1</v>
      </c>
    </row>
    <row r="126" spans="2:15" x14ac:dyDescent="0.3">
      <c r="B126" s="193" t="s">
        <v>522</v>
      </c>
      <c r="C126" s="193" t="s">
        <v>521</v>
      </c>
      <c r="D126" s="193" t="s">
        <v>335</v>
      </c>
      <c r="E126" s="216">
        <v>0.31</v>
      </c>
      <c r="F126" s="216">
        <v>0.22</v>
      </c>
      <c r="G126" s="216">
        <v>0.34</v>
      </c>
      <c r="H126" s="216">
        <v>0.13</v>
      </c>
      <c r="I126" s="216">
        <v>0.65</v>
      </c>
      <c r="J126" s="216">
        <v>0.35</v>
      </c>
      <c r="K126" s="216">
        <v>0.24</v>
      </c>
      <c r="L126" s="216">
        <v>0.19</v>
      </c>
      <c r="M126" s="216">
        <v>0.21</v>
      </c>
      <c r="N126" s="216">
        <v>0.21</v>
      </c>
      <c r="O126" s="216">
        <v>0.15</v>
      </c>
    </row>
    <row r="127" spans="2:15" x14ac:dyDescent="0.3">
      <c r="B127" s="193" t="s">
        <v>474</v>
      </c>
      <c r="C127" s="193" t="s">
        <v>696</v>
      </c>
      <c r="D127" s="193" t="s">
        <v>335</v>
      </c>
      <c r="E127" s="216">
        <v>0.24</v>
      </c>
      <c r="F127" s="216">
        <v>0.22</v>
      </c>
      <c r="G127" s="216">
        <v>0.24</v>
      </c>
      <c r="H127" s="216">
        <v>0.3</v>
      </c>
      <c r="I127" s="216">
        <v>0.67</v>
      </c>
      <c r="J127" s="216">
        <v>0.33</v>
      </c>
      <c r="K127" s="216">
        <v>0.37</v>
      </c>
      <c r="L127" s="216">
        <v>0.36</v>
      </c>
      <c r="M127" s="216">
        <v>0.21</v>
      </c>
      <c r="N127" s="216">
        <v>0.04</v>
      </c>
      <c r="O127" s="216">
        <v>0.01</v>
      </c>
    </row>
    <row r="128" spans="2:15" x14ac:dyDescent="0.3">
      <c r="B128" s="193" t="s">
        <v>296</v>
      </c>
      <c r="C128" s="193" t="s">
        <v>295</v>
      </c>
      <c r="D128" s="193" t="s">
        <v>263</v>
      </c>
      <c r="E128" s="216">
        <v>0.45</v>
      </c>
      <c r="F128" s="216">
        <v>0.23</v>
      </c>
      <c r="G128" s="216">
        <v>0.25</v>
      </c>
      <c r="H128" s="216">
        <v>7.0000000000000007E-2</v>
      </c>
      <c r="I128" s="216">
        <v>0.6</v>
      </c>
      <c r="J128" s="216">
        <v>0.4</v>
      </c>
      <c r="K128" s="216">
        <v>0.04</v>
      </c>
      <c r="L128" s="216">
        <v>0.16</v>
      </c>
      <c r="M128" s="216">
        <v>0.13</v>
      </c>
      <c r="N128" s="216">
        <v>0.2</v>
      </c>
      <c r="O128" s="216">
        <v>0.48</v>
      </c>
    </row>
    <row r="129" spans="2:15" x14ac:dyDescent="0.3">
      <c r="B129" s="193" t="s">
        <v>410</v>
      </c>
      <c r="C129" s="193" t="s">
        <v>707</v>
      </c>
      <c r="D129" s="193" t="s">
        <v>263</v>
      </c>
      <c r="E129" s="216">
        <v>0.24</v>
      </c>
      <c r="F129" s="216">
        <v>0.23</v>
      </c>
      <c r="G129" s="216">
        <v>0.32</v>
      </c>
      <c r="H129" s="216">
        <v>0.2</v>
      </c>
      <c r="I129" s="216">
        <v>0.65</v>
      </c>
      <c r="J129" s="216">
        <v>0.35</v>
      </c>
      <c r="K129" s="216">
        <v>7.0000000000000007E-2</v>
      </c>
      <c r="L129" s="216">
        <v>0.19</v>
      </c>
      <c r="M129" s="216">
        <v>0.21</v>
      </c>
      <c r="N129" s="216">
        <v>0.23</v>
      </c>
      <c r="O129" s="216">
        <v>0.3</v>
      </c>
    </row>
    <row r="130" spans="2:15" x14ac:dyDescent="0.3">
      <c r="B130" s="193" t="s">
        <v>262</v>
      </c>
      <c r="C130" s="193" t="s">
        <v>29</v>
      </c>
      <c r="D130" s="193" t="s">
        <v>263</v>
      </c>
      <c r="E130" s="216">
        <v>0.22</v>
      </c>
      <c r="F130" s="216">
        <v>0.3</v>
      </c>
      <c r="G130" s="216">
        <v>0.3</v>
      </c>
      <c r="H130" s="216">
        <v>0.18</v>
      </c>
      <c r="I130" s="216">
        <v>0.66</v>
      </c>
      <c r="J130" s="216">
        <v>0.34</v>
      </c>
      <c r="K130" s="216">
        <v>0.11</v>
      </c>
      <c r="L130" s="216">
        <v>0.28000000000000003</v>
      </c>
      <c r="M130" s="216">
        <v>0.24</v>
      </c>
      <c r="N130" s="216">
        <v>0.12</v>
      </c>
      <c r="O130" s="216">
        <v>0.25</v>
      </c>
    </row>
    <row r="131" spans="2:15" x14ac:dyDescent="0.3">
      <c r="B131" s="193" t="s">
        <v>303</v>
      </c>
      <c r="C131" s="193" t="s">
        <v>822</v>
      </c>
      <c r="D131" s="193" t="s">
        <v>263</v>
      </c>
      <c r="E131" s="216">
        <v>0.19</v>
      </c>
      <c r="F131" s="216">
        <v>0.26</v>
      </c>
      <c r="G131" s="216">
        <v>0.31</v>
      </c>
      <c r="H131" s="216">
        <v>0.23</v>
      </c>
      <c r="I131" s="216">
        <v>0.65</v>
      </c>
      <c r="J131" s="216">
        <v>0.35</v>
      </c>
      <c r="K131" s="216">
        <v>0.12</v>
      </c>
      <c r="L131" s="216">
        <v>0.19</v>
      </c>
      <c r="M131" s="216">
        <v>0.28999999999999998</v>
      </c>
      <c r="N131" s="216">
        <v>0.18</v>
      </c>
      <c r="O131" s="216">
        <v>0.22</v>
      </c>
    </row>
    <row r="132" spans="2:15" x14ac:dyDescent="0.3">
      <c r="B132" s="193" t="s">
        <v>390</v>
      </c>
      <c r="C132" s="193" t="s">
        <v>389</v>
      </c>
      <c r="D132" s="193" t="s">
        <v>263</v>
      </c>
      <c r="E132" s="216">
        <v>0.33</v>
      </c>
      <c r="F132" s="216">
        <v>0.28000000000000003</v>
      </c>
      <c r="G132" s="216">
        <v>0.26</v>
      </c>
      <c r="H132" s="216">
        <v>0.13</v>
      </c>
      <c r="I132" s="216">
        <v>0.64</v>
      </c>
      <c r="J132" s="216">
        <v>0.36</v>
      </c>
      <c r="K132" s="216">
        <v>0.19</v>
      </c>
      <c r="L132" s="216">
        <v>0.23</v>
      </c>
      <c r="M132" s="216">
        <v>0.16</v>
      </c>
      <c r="N132" s="216">
        <v>0.12</v>
      </c>
      <c r="O132" s="216">
        <v>0.3</v>
      </c>
    </row>
    <row r="133" spans="2:15" x14ac:dyDescent="0.3">
      <c r="B133" s="193" t="s">
        <v>369</v>
      </c>
      <c r="C133" s="193" t="s">
        <v>368</v>
      </c>
      <c r="D133" s="193" t="s">
        <v>263</v>
      </c>
      <c r="E133" s="216">
        <v>0.15</v>
      </c>
      <c r="F133" s="216">
        <v>0.22</v>
      </c>
      <c r="G133" s="216">
        <v>0.46</v>
      </c>
      <c r="H133" s="216">
        <v>0.17</v>
      </c>
      <c r="I133" s="216">
        <v>0.67</v>
      </c>
      <c r="J133" s="216">
        <v>0.33</v>
      </c>
      <c r="K133" s="216">
        <v>0.3</v>
      </c>
      <c r="L133" s="216">
        <v>0.43</v>
      </c>
      <c r="M133" s="216">
        <v>0.22</v>
      </c>
      <c r="N133" s="216">
        <v>0.04</v>
      </c>
      <c r="O133" s="216">
        <v>0</v>
      </c>
    </row>
  </sheetData>
  <mergeCells count="3">
    <mergeCell ref="E11:H11"/>
    <mergeCell ref="I11:J11"/>
    <mergeCell ref="K11:O11"/>
  </mergeCells>
  <pageMargins left="0.7" right="0.7" top="0.75" bottom="0.75" header="0.3" footer="0.3"/>
  <drawing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5" tint="0.79998168889431442"/>
    <pageSetUpPr autoPageBreaks="0"/>
  </sheetPr>
  <dimension ref="A2:U31"/>
  <sheetViews>
    <sheetView showGridLines="0" workbookViewId="0">
      <selection activeCell="J28" sqref="J28"/>
    </sheetView>
  </sheetViews>
  <sheetFormatPr defaultRowHeight="14.4" x14ac:dyDescent="0.3"/>
  <cols>
    <col min="1" max="1" width="10.109375" bestFit="1" customWidth="1"/>
    <col min="2" max="2" width="43.6640625" customWidth="1"/>
    <col min="3" max="3" width="32.6640625" customWidth="1"/>
    <col min="4" max="4" width="29.109375" bestFit="1" customWidth="1"/>
    <col min="5" max="5" width="28" customWidth="1"/>
    <col min="6" max="6" width="24.6640625" customWidth="1"/>
    <col min="7" max="7" width="22.44140625" bestFit="1" customWidth="1"/>
    <col min="8" max="8" width="26" bestFit="1" customWidth="1"/>
    <col min="9" max="10" width="22.6640625" bestFit="1" customWidth="1"/>
  </cols>
  <sheetData>
    <row r="2" spans="1:6" x14ac:dyDescent="0.3">
      <c r="B2" t="s">
        <v>63</v>
      </c>
    </row>
    <row r="4" spans="1:6" x14ac:dyDescent="0.3">
      <c r="B4" t="s">
        <v>64</v>
      </c>
    </row>
    <row r="6" spans="1:6" x14ac:dyDescent="0.3">
      <c r="B6" t="s">
        <v>65</v>
      </c>
    </row>
    <row r="7" spans="1:6" x14ac:dyDescent="0.3">
      <c r="A7" t="s">
        <v>66</v>
      </c>
      <c r="B7" s="16" t="s">
        <v>67</v>
      </c>
      <c r="C7" s="16" t="s">
        <v>68</v>
      </c>
      <c r="D7" s="17" t="s">
        <v>69</v>
      </c>
      <c r="E7" s="16" t="s">
        <v>70</v>
      </c>
      <c r="F7" s="16" t="s">
        <v>71</v>
      </c>
    </row>
    <row r="8" spans="1:6" x14ac:dyDescent="0.3">
      <c r="A8" t="s">
        <v>72</v>
      </c>
      <c r="B8" s="14" t="str">
        <f>'Dashboard-cross section'!D9</f>
        <v>Barnsley Hospital NHS Foundation Trust</v>
      </c>
      <c r="C8" s="14" t="str">
        <f ca="1">VLOOKUP(C11,INDIRECT(table_trust_ca_assoc),2)</f>
        <v>RXK</v>
      </c>
      <c r="D8" s="15" t="e">
        <f ca="1">VLOOKUP(selected_trust_xc,INDIRECT(table_trust_ca_assoc),3)</f>
        <v>#REF!</v>
      </c>
      <c r="E8" s="14" t="e">
        <f ca="1">VLOOKUP(selected_trust_xc,INDIRECT(table_trust_ca_assoc),4)</f>
        <v>#REF!</v>
      </c>
      <c r="F8" s="14" t="e">
        <f ca="1">VLOOKUP(selected_trust_xc_ca_name,INDIRECT(trusts_per_CA),2)</f>
        <v>#REF!</v>
      </c>
    </row>
    <row r="9" spans="1:6" x14ac:dyDescent="0.3">
      <c r="D9" s="2"/>
    </row>
    <row r="10" spans="1:6" x14ac:dyDescent="0.3">
      <c r="B10" t="s">
        <v>73</v>
      </c>
      <c r="F10" s="2"/>
    </row>
    <row r="11" spans="1:6" x14ac:dyDescent="0.3">
      <c r="A11" t="s">
        <v>66</v>
      </c>
      <c r="B11" s="16" t="s">
        <v>74</v>
      </c>
      <c r="C11" s="16" t="s">
        <v>75</v>
      </c>
      <c r="D11" s="17" t="s">
        <v>76</v>
      </c>
      <c r="E11" s="16" t="s">
        <v>77</v>
      </c>
      <c r="F11" s="2"/>
    </row>
    <row r="12" spans="1:6" x14ac:dyDescent="0.3">
      <c r="A12" t="s">
        <v>72</v>
      </c>
      <c r="B12" s="14" t="str">
        <f>Dashboard!C9</f>
        <v xml:space="preserve"> ENGLAND</v>
      </c>
      <c r="C12" s="106" t="str">
        <f ca="1">VLOOKUP(selected_trust_l,INDIRECT(table_trust_ca_assoc),2)</f>
        <v>ENG</v>
      </c>
      <c r="D12" s="15" t="e">
        <f ca="1">VLOOKUP(selected_trust_l,INDIRECT(table_trust_ca_assoc),3)</f>
        <v>#REF!</v>
      </c>
      <c r="E12" s="14" t="e">
        <f ca="1">VLOOKUP(selected_trust_l,INDIRECT(table_trust_ca_assoc),4)</f>
        <v>#REF!</v>
      </c>
      <c r="F12" s="2"/>
    </row>
    <row r="13" spans="1:6" x14ac:dyDescent="0.3">
      <c r="D13" s="2"/>
      <c r="F13" s="2"/>
    </row>
    <row r="14" spans="1:6" x14ac:dyDescent="0.3">
      <c r="B14" t="s">
        <v>78</v>
      </c>
      <c r="F14" s="2"/>
    </row>
    <row r="15" spans="1:6" x14ac:dyDescent="0.3">
      <c r="A15" t="s">
        <v>66</v>
      </c>
      <c r="B15" s="16" t="s">
        <v>79</v>
      </c>
      <c r="C15" s="16" t="s">
        <v>80</v>
      </c>
      <c r="D15" s="17" t="s">
        <v>81</v>
      </c>
      <c r="E15" s="16" t="s">
        <v>82</v>
      </c>
      <c r="F15" s="2"/>
    </row>
    <row r="16" spans="1:6" x14ac:dyDescent="0.3">
      <c r="A16" t="s">
        <v>72</v>
      </c>
      <c r="B16" s="14" t="str">
        <f>'Dashboard-pt char'!D9</f>
        <v>Airedale NHS Foundation Trust</v>
      </c>
      <c r="C16" s="14" t="str">
        <f ca="1">VLOOKUP(selected_trust_ptc,INDIRECT(table_trust_ca_assoc),2)</f>
        <v>RCF</v>
      </c>
      <c r="D16" s="15" t="e">
        <f ca="1">VLOOKUP(selected_trust_ptc,INDIRECT(table_trust_ca_assoc),3)</f>
        <v>#REF!</v>
      </c>
      <c r="E16" s="14" t="e">
        <f ca="1">VLOOKUP(selected_trust_ptc,INDIRECT(table_trust_ca_assoc),4)</f>
        <v>#REF!</v>
      </c>
      <c r="F16" s="2"/>
    </row>
    <row r="17" spans="1:21" x14ac:dyDescent="0.3">
      <c r="F17" s="2"/>
    </row>
    <row r="18" spans="1:21" x14ac:dyDescent="0.3">
      <c r="B18" t="s">
        <v>83</v>
      </c>
      <c r="C18" s="2"/>
    </row>
    <row r="19" spans="1:21" x14ac:dyDescent="0.3">
      <c r="C19" s="2"/>
    </row>
    <row r="20" spans="1:21" x14ac:dyDescent="0.3">
      <c r="B20" t="s">
        <v>65</v>
      </c>
    </row>
    <row r="21" spans="1:21" x14ac:dyDescent="0.3">
      <c r="A21" t="s">
        <v>66</v>
      </c>
      <c r="B21" s="16" t="s">
        <v>84</v>
      </c>
      <c r="C21" s="17" t="s">
        <v>85</v>
      </c>
      <c r="D21" s="16" t="s">
        <v>86</v>
      </c>
      <c r="E21" s="16" t="s">
        <v>87</v>
      </c>
      <c r="F21" s="16" t="s">
        <v>88</v>
      </c>
      <c r="G21" s="16" t="s">
        <v>89</v>
      </c>
      <c r="H21" s="16" t="s">
        <v>90</v>
      </c>
      <c r="I21" s="16" t="s">
        <v>91</v>
      </c>
      <c r="J21" s="16" t="s">
        <v>92</v>
      </c>
      <c r="K21" s="16" t="s">
        <v>771</v>
      </c>
      <c r="L21" s="1"/>
      <c r="O21" s="95"/>
      <c r="R21" s="92"/>
      <c r="U21" s="1">
        <f>Lists!M45</f>
        <v>0</v>
      </c>
    </row>
    <row r="22" spans="1:21" x14ac:dyDescent="0.3">
      <c r="A22" t="s">
        <v>72</v>
      </c>
      <c r="B22" s="15" t="str">
        <f>'Dashboard-cross section'!D15</f>
        <v>Data completeness for Morphology (among all patients)</v>
      </c>
      <c r="C22" s="15" t="str">
        <f ca="1">VLOOKUP(selected_dq_descr_xc,INDIRECT(dq_cell_ref_table),2)</f>
        <v>mdt_p</v>
      </c>
      <c r="D22" s="14">
        <f ca="1">VLOOKUP(selected_dq_descr_xc,INDIRECT(dq_cell_ref_table),3)</f>
        <v>0.9</v>
      </c>
      <c r="E22" s="14" t="str">
        <f ca="1">VLOOKUP(selected_dq_descr_xc,INDIRECT(dq_cell_ref_table),4)</f>
        <v>n</v>
      </c>
      <c r="F22" s="14" t="str">
        <f ca="1">VLOOKUP(selected_dq_descr_xc,INDIRECT(dq_cell_ref_table),5)</f>
        <v>Number of people with a new diagnosis of kidney cancer and recorded MDT first meeting date</v>
      </c>
      <c r="G22" s="14" t="str">
        <f ca="1">VLOOKUP(selected_dq_descr_xc,INDIRECT(dq_cell_ref_table),6)</f>
        <v>Number of people with a new diagnosis of kidney cancer</v>
      </c>
      <c r="H22" s="14" t="str">
        <f ca="1">VLOOKUP(selected_dq_descr_xc,INDIRECT(dq_cell_ref_table),7)</f>
        <v>Cancer Outcomes and Services Dataset</v>
      </c>
      <c r="I22" s="14" t="str">
        <f ca="1">VLOOKUP(selected_dq_descr_xc,INDIRECT(dq_cell_ref_table),8)</f>
        <v>MDT First Meeting Date</v>
      </c>
      <c r="J22" s="14" t="str">
        <f ca="1">VLOOKUP(selected_dq_descr_xc,INDIRECT(dq_cell_ref_table),9)</f>
        <v>People diagnosed 1st April 2021 to 31st March 2024</v>
      </c>
      <c r="K22" s="14" t="str">
        <f ca="1">VLOOKUP(selected_dq_descr_xc,INDIRECT(dq_cell_ref_table),10)</f>
        <v>No</v>
      </c>
    </row>
    <row r="23" spans="1:21" x14ac:dyDescent="0.3">
      <c r="B23" s="2"/>
      <c r="C23" s="2"/>
    </row>
    <row r="24" spans="1:21" x14ac:dyDescent="0.3">
      <c r="B24" t="s">
        <v>73</v>
      </c>
      <c r="C24" s="2"/>
    </row>
    <row r="25" spans="1:21" x14ac:dyDescent="0.3">
      <c r="A25" t="s">
        <v>66</v>
      </c>
      <c r="B25" s="16" t="s">
        <v>93</v>
      </c>
      <c r="C25" s="17" t="s">
        <v>94</v>
      </c>
      <c r="D25" s="16" t="s">
        <v>95</v>
      </c>
      <c r="E25" s="16" t="s">
        <v>96</v>
      </c>
      <c r="F25" s="16" t="s">
        <v>97</v>
      </c>
      <c r="G25" s="16" t="s">
        <v>98</v>
      </c>
      <c r="H25" s="16" t="s">
        <v>99</v>
      </c>
      <c r="I25" s="16" t="s">
        <v>100</v>
      </c>
      <c r="J25" s="16" t="s">
        <v>101</v>
      </c>
      <c r="K25" s="16" t="s">
        <v>775</v>
      </c>
    </row>
    <row r="26" spans="1:21" x14ac:dyDescent="0.3">
      <c r="A26" t="s">
        <v>72</v>
      </c>
      <c r="B26" s="15" t="str">
        <f>Dashboard!C13</f>
        <v>Data completeness for Clinical Nurse Specialist (Data quality metric)</v>
      </c>
      <c r="C26" s="15" t="str">
        <f ca="1">VLOOKUP(selected_dq_descr_l,INDIRECT(dq_cell_ref_table),2)</f>
        <v>cns_p</v>
      </c>
      <c r="D26" s="14">
        <f ca="1">VLOOKUP(selected_dq_descr_l,INDIRECT(dq_cell_ref_table),3)</f>
        <v>0.9</v>
      </c>
      <c r="E26" s="14" t="str">
        <f ca="1">VLOOKUP(selected_dq_descr_l,INDIRECT(dq_cell_ref_table),4)</f>
        <v>n</v>
      </c>
      <c r="F26" s="14" t="str">
        <f ca="1">VLOOKUP(selected_dq_descr_l,INDIRECT(dq_cell_ref_table),5)</f>
        <v>Number of people with a new diagnosis of kidney cancer and recorded clinical nurse specialist</v>
      </c>
      <c r="G26" s="14" t="str">
        <f ca="1">VLOOKUP(selected_dq_descr_l,INDIRECT(dq_cell_ref_table),6)</f>
        <v>Number of people with a new diagnosis of kidney cancer</v>
      </c>
      <c r="H26" s="14" t="str">
        <f ca="1">VLOOKUP(selected_dq_descr_l,INDIRECT(dq_cell_ref_table),7)</f>
        <v>Cancer Outcomes and Services Dataset</v>
      </c>
      <c r="I26" s="14" t="str">
        <f ca="1">VLOOKUP(selected_dq_descr_l,INDIRECT(dq_cell_ref_table),8)</f>
        <v>Clinical Nurse Specialist</v>
      </c>
      <c r="J26" s="14" t="str">
        <f ca="1">VLOOKUP(selected_dq_descr_l,INDIRECT(dq_cell_ref_table),9)</f>
        <v>People diagnosed 1st April 2021 to 31st March 2024</v>
      </c>
      <c r="K26" s="14" t="str">
        <f ca="1">VLOOKUP(selected_dq_descr_l,INDIRECT(dq_cell_ref_table),10)</f>
        <v>No</v>
      </c>
    </row>
    <row r="27" spans="1:21" x14ac:dyDescent="0.3">
      <c r="C27" s="2"/>
    </row>
    <row r="28" spans="1:21" x14ac:dyDescent="0.3">
      <c r="B28" t="s">
        <v>102</v>
      </c>
      <c r="C28" s="16" t="s">
        <v>103</v>
      </c>
      <c r="D28" s="16" t="s">
        <v>104</v>
      </c>
      <c r="E28" s="16" t="s">
        <v>105</v>
      </c>
      <c r="F28" s="16" t="s">
        <v>106</v>
      </c>
    </row>
    <row r="29" spans="1:21" x14ac:dyDescent="0.3">
      <c r="C29" s="15" t="e">
        <f ca="1">'Dashboard-cross section'!H26</f>
        <v>#N/A</v>
      </c>
      <c r="D29" s="18" t="e">
        <f ca="1">'Dashboard-cross section'!G26</f>
        <v>#N/A</v>
      </c>
      <c r="E29" s="14">
        <v>0</v>
      </c>
      <c r="F29" s="14">
        <f ca="1">IF(selected_dq_target_xc="NA",NA(),selected_dq_target_xc)</f>
        <v>0.9</v>
      </c>
    </row>
    <row r="30" spans="1:21" x14ac:dyDescent="0.3">
      <c r="C30" s="15" t="e">
        <f ca="1">C29</f>
        <v>#N/A</v>
      </c>
      <c r="D30" s="14">
        <v>0</v>
      </c>
      <c r="E30" s="14">
        <f>n_trusts</f>
        <v>121</v>
      </c>
      <c r="F30" s="14">
        <f ca="1">F29</f>
        <v>0.9</v>
      </c>
    </row>
    <row r="31" spans="1:21" x14ac:dyDescent="0.3">
      <c r="C31" s="2"/>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E19E2-E5D1-45AC-BFC6-F7F43B273F13}">
  <sheetPr>
    <tabColor theme="5" tint="0.79998168889431442"/>
  </sheetPr>
  <dimension ref="A2:AL40"/>
  <sheetViews>
    <sheetView workbookViewId="0">
      <selection activeCell="C23" sqref="C23"/>
    </sheetView>
  </sheetViews>
  <sheetFormatPr defaultRowHeight="14.4" x14ac:dyDescent="0.3"/>
  <cols>
    <col min="2" max="2" width="13.6640625" customWidth="1"/>
    <col min="3" max="3" width="9.44140625" bestFit="1" customWidth="1"/>
    <col min="10" max="10" width="8" bestFit="1" customWidth="1"/>
  </cols>
  <sheetData>
    <row r="2" spans="2:38" x14ac:dyDescent="0.3">
      <c r="B2" s="61" t="s">
        <v>107</v>
      </c>
      <c r="C2" s="62"/>
      <c r="D2" s="62"/>
      <c r="E2" s="62"/>
      <c r="F2" s="62"/>
      <c r="G2" s="62"/>
      <c r="H2" s="62"/>
      <c r="I2" s="62"/>
      <c r="J2" s="62"/>
      <c r="K2" s="62"/>
      <c r="L2" s="62"/>
      <c r="M2" s="62"/>
      <c r="N2" s="62"/>
    </row>
    <row r="3" spans="2:38" x14ac:dyDescent="0.3">
      <c r="B3" s="62"/>
      <c r="C3" s="62"/>
      <c r="D3" s="62"/>
      <c r="E3" s="62"/>
      <c r="F3" s="62"/>
      <c r="G3" s="62"/>
      <c r="H3" s="62"/>
      <c r="I3" s="62"/>
      <c r="J3" s="62"/>
      <c r="K3" s="62"/>
      <c r="L3" s="62"/>
      <c r="M3" s="62"/>
      <c r="N3" s="62"/>
    </row>
    <row r="4" spans="2:38" x14ac:dyDescent="0.3">
      <c r="B4" s="63" t="s">
        <v>108</v>
      </c>
      <c r="C4" s="64">
        <v>1</v>
      </c>
      <c r="D4" s="64">
        <v>2</v>
      </c>
      <c r="E4" s="64">
        <v>3</v>
      </c>
      <c r="F4" s="64">
        <v>4</v>
      </c>
      <c r="G4" s="64">
        <v>5</v>
      </c>
      <c r="H4" s="64">
        <v>6</v>
      </c>
      <c r="I4" s="64">
        <v>7</v>
      </c>
      <c r="J4" s="64">
        <v>8</v>
      </c>
      <c r="K4" s="64">
        <v>9</v>
      </c>
      <c r="L4" s="64">
        <v>10</v>
      </c>
      <c r="M4" s="64">
        <v>11</v>
      </c>
      <c r="N4" s="65">
        <v>12</v>
      </c>
      <c r="Q4" s="193"/>
      <c r="R4" s="193"/>
      <c r="S4" s="193"/>
      <c r="T4" s="193"/>
      <c r="U4" s="193"/>
      <c r="V4" s="193"/>
      <c r="W4" s="193"/>
      <c r="X4" s="193"/>
      <c r="Y4" s="193"/>
      <c r="Z4" s="193"/>
      <c r="AA4" s="193"/>
      <c r="AB4" s="193"/>
      <c r="AC4" s="193"/>
      <c r="AD4" s="193"/>
      <c r="AE4" s="193"/>
      <c r="AF4" s="193"/>
      <c r="AG4" s="193"/>
      <c r="AH4" s="193"/>
      <c r="AI4" s="193"/>
      <c r="AJ4" s="193"/>
      <c r="AK4" s="193"/>
      <c r="AL4" s="193"/>
    </row>
    <row r="5" spans="2:38" x14ac:dyDescent="0.3">
      <c r="B5" s="63" t="s">
        <v>109</v>
      </c>
      <c r="C5" s="64" cm="1">
        <f t="array" ref="C5:N6">Figure_Xaxis_labels</f>
        <v>2021</v>
      </c>
      <c r="D5" s="64">
        <v>0</v>
      </c>
      <c r="E5" s="64">
        <v>0</v>
      </c>
      <c r="F5" s="64">
        <v>2022</v>
      </c>
      <c r="G5" s="64">
        <v>0</v>
      </c>
      <c r="H5" s="64">
        <v>0</v>
      </c>
      <c r="I5" s="64">
        <v>0</v>
      </c>
      <c r="J5" s="64">
        <v>2023</v>
      </c>
      <c r="K5" s="64">
        <v>0</v>
      </c>
      <c r="L5" s="64">
        <v>0</v>
      </c>
      <c r="M5" s="64">
        <v>0</v>
      </c>
      <c r="N5" s="65">
        <v>2024</v>
      </c>
      <c r="Q5" s="193"/>
      <c r="R5" s="194"/>
      <c r="S5" s="194"/>
      <c r="T5" s="194"/>
      <c r="U5" s="194"/>
      <c r="V5" s="194"/>
      <c r="W5" s="194"/>
      <c r="X5" s="194"/>
      <c r="Y5" s="194"/>
      <c r="Z5" s="194"/>
      <c r="AA5" s="194"/>
      <c r="AB5" s="194"/>
      <c r="AC5" s="194"/>
      <c r="AD5" s="194"/>
      <c r="AE5" s="194"/>
      <c r="AF5" s="194"/>
      <c r="AG5" s="194"/>
      <c r="AH5" s="194"/>
      <c r="AI5" s="194"/>
      <c r="AJ5" s="194"/>
      <c r="AK5" s="194"/>
      <c r="AL5" s="194"/>
    </row>
    <row r="6" spans="2:38" x14ac:dyDescent="0.3">
      <c r="B6" s="68" t="s">
        <v>110</v>
      </c>
      <c r="C6" s="66" t="str">
        <v>Q2</v>
      </c>
      <c r="D6" s="66" t="str">
        <v>Q3</v>
      </c>
      <c r="E6" s="66" t="str">
        <v>Q4</v>
      </c>
      <c r="F6" s="66" t="str">
        <v>Q1</v>
      </c>
      <c r="G6" s="66" t="str">
        <v>Q2</v>
      </c>
      <c r="H6" s="66" t="str">
        <v>Q3</v>
      </c>
      <c r="I6" s="66" t="str">
        <v>Q4</v>
      </c>
      <c r="J6" s="66" t="str">
        <v>Q1</v>
      </c>
      <c r="K6" s="66" t="str">
        <v>Q2</v>
      </c>
      <c r="L6" s="66" t="str">
        <v>Q3</v>
      </c>
      <c r="M6" s="66" t="str">
        <v>Q4</v>
      </c>
      <c r="N6" s="67" t="str">
        <v>Q1</v>
      </c>
    </row>
    <row r="7" spans="2:38" x14ac:dyDescent="0.3">
      <c r="B7" s="69" t="s">
        <v>111</v>
      </c>
      <c r="C7" s="62" t="s">
        <v>112</v>
      </c>
      <c r="D7" s="62" t="s">
        <v>113</v>
      </c>
      <c r="E7" s="62" t="s">
        <v>114</v>
      </c>
      <c r="F7" s="62" t="s">
        <v>115</v>
      </c>
      <c r="G7" s="62" t="s">
        <v>116</v>
      </c>
      <c r="H7" s="62" t="s">
        <v>117</v>
      </c>
      <c r="I7" s="62" t="s">
        <v>118</v>
      </c>
      <c r="J7" s="62" t="s">
        <v>119</v>
      </c>
      <c r="K7" s="62" t="s">
        <v>120</v>
      </c>
      <c r="L7" s="62" t="s">
        <v>121</v>
      </c>
      <c r="M7" s="62" t="s">
        <v>122</v>
      </c>
      <c r="N7" s="70" t="s">
        <v>123</v>
      </c>
    </row>
    <row r="8" spans="2:38" x14ac:dyDescent="0.3">
      <c r="B8" s="69" t="s">
        <v>124</v>
      </c>
      <c r="C8" s="62" t="s">
        <v>125</v>
      </c>
      <c r="D8" s="62" t="s">
        <v>126</v>
      </c>
      <c r="E8" s="62" t="s">
        <v>127</v>
      </c>
      <c r="F8" s="62" t="s">
        <v>128</v>
      </c>
      <c r="G8" s="62" t="s">
        <v>129</v>
      </c>
      <c r="H8" s="62" t="s">
        <v>130</v>
      </c>
      <c r="I8" s="62" t="s">
        <v>131</v>
      </c>
      <c r="J8" s="62" t="s">
        <v>132</v>
      </c>
      <c r="K8" s="62" t="s">
        <v>133</v>
      </c>
      <c r="L8" s="62" t="s">
        <v>134</v>
      </c>
      <c r="M8" s="62" t="s">
        <v>135</v>
      </c>
      <c r="N8" s="70" t="s">
        <v>136</v>
      </c>
    </row>
    <row r="9" spans="2:38" x14ac:dyDescent="0.3">
      <c r="B9" s="71" t="s">
        <v>137</v>
      </c>
      <c r="C9" s="72" t="s">
        <v>138</v>
      </c>
      <c r="D9" s="72" t="s">
        <v>139</v>
      </c>
      <c r="E9" s="72" t="s">
        <v>140</v>
      </c>
      <c r="F9" s="72" t="s">
        <v>141</v>
      </c>
      <c r="G9" s="72" t="s">
        <v>142</v>
      </c>
      <c r="H9" s="72" t="s">
        <v>143</v>
      </c>
      <c r="I9" s="72" t="s">
        <v>144</v>
      </c>
      <c r="J9" s="72" t="s">
        <v>145</v>
      </c>
      <c r="K9" s="72" t="s">
        <v>146</v>
      </c>
      <c r="L9" s="72" t="s">
        <v>147</v>
      </c>
      <c r="M9" s="72" t="s">
        <v>148</v>
      </c>
      <c r="N9" s="73" t="s">
        <v>149</v>
      </c>
    </row>
    <row r="10" spans="2:38" x14ac:dyDescent="0.3">
      <c r="B10" s="62" t="s">
        <v>715</v>
      </c>
      <c r="C10" s="62" t="s">
        <v>717</v>
      </c>
      <c r="D10" s="62" t="s">
        <v>719</v>
      </c>
      <c r="E10" s="62" t="s">
        <v>721</v>
      </c>
      <c r="F10" s="62" t="s">
        <v>723</v>
      </c>
      <c r="G10" s="62" t="s">
        <v>725</v>
      </c>
      <c r="H10" s="62" t="s">
        <v>727</v>
      </c>
      <c r="I10" s="62" t="s">
        <v>729</v>
      </c>
      <c r="J10" s="62" t="s">
        <v>731</v>
      </c>
      <c r="K10" s="62" t="s">
        <v>733</v>
      </c>
      <c r="L10" s="62" t="s">
        <v>735</v>
      </c>
      <c r="M10" s="62" t="s">
        <v>737</v>
      </c>
      <c r="N10" s="62" t="s">
        <v>739</v>
      </c>
    </row>
    <row r="11" spans="2:38" x14ac:dyDescent="0.3">
      <c r="B11" s="62" t="s">
        <v>716</v>
      </c>
      <c r="C11" s="62" t="s">
        <v>718</v>
      </c>
      <c r="D11" s="62" t="s">
        <v>720</v>
      </c>
      <c r="E11" s="62" t="s">
        <v>722</v>
      </c>
      <c r="F11" s="62" t="s">
        <v>724</v>
      </c>
      <c r="G11" s="62" t="s">
        <v>726</v>
      </c>
      <c r="H11" s="62" t="s">
        <v>728</v>
      </c>
      <c r="I11" s="62" t="s">
        <v>730</v>
      </c>
      <c r="J11" s="62" t="s">
        <v>732</v>
      </c>
      <c r="K11" s="62" t="s">
        <v>734</v>
      </c>
      <c r="L11" s="62" t="s">
        <v>736</v>
      </c>
      <c r="M11" s="62" t="s">
        <v>738</v>
      </c>
      <c r="N11" s="62" t="s">
        <v>740</v>
      </c>
    </row>
    <row r="12" spans="2:38" x14ac:dyDescent="0.3">
      <c r="B12" s="62" t="s">
        <v>754</v>
      </c>
      <c r="C12" s="62" t="s">
        <v>741</v>
      </c>
      <c r="D12" s="62" t="s">
        <v>742</v>
      </c>
      <c r="E12" s="62" t="s">
        <v>743</v>
      </c>
      <c r="F12" s="62" t="s">
        <v>744</v>
      </c>
      <c r="G12" s="62" t="s">
        <v>745</v>
      </c>
      <c r="H12" s="62" t="s">
        <v>746</v>
      </c>
      <c r="I12" s="62" t="s">
        <v>747</v>
      </c>
      <c r="J12" s="62" t="s">
        <v>748</v>
      </c>
      <c r="K12" s="62" t="s">
        <v>749</v>
      </c>
      <c r="L12" s="62" t="s">
        <v>750</v>
      </c>
      <c r="M12" s="62" t="s">
        <v>751</v>
      </c>
      <c r="N12" s="62" t="s">
        <v>752</v>
      </c>
    </row>
    <row r="13" spans="2:38" x14ac:dyDescent="0.3">
      <c r="B13" s="62" t="s">
        <v>755</v>
      </c>
      <c r="C13" s="62" t="s">
        <v>753</v>
      </c>
      <c r="D13" s="62" t="s">
        <v>753</v>
      </c>
      <c r="E13" s="62" t="s">
        <v>753</v>
      </c>
      <c r="F13" s="62" t="s">
        <v>753</v>
      </c>
      <c r="G13" s="62" t="s">
        <v>753</v>
      </c>
      <c r="H13" s="62" t="s">
        <v>753</v>
      </c>
      <c r="I13" s="62" t="s">
        <v>753</v>
      </c>
      <c r="J13" s="62" t="s">
        <v>753</v>
      </c>
      <c r="K13" s="62" t="s">
        <v>753</v>
      </c>
      <c r="L13" s="62" t="s">
        <v>753</v>
      </c>
      <c r="M13" s="62" t="s">
        <v>753</v>
      </c>
      <c r="N13" s="62" t="s">
        <v>753</v>
      </c>
    </row>
    <row r="15" spans="2:38" x14ac:dyDescent="0.3">
      <c r="B15" s="74" t="s">
        <v>150</v>
      </c>
    </row>
    <row r="17" spans="1:16" x14ac:dyDescent="0.3">
      <c r="B17" s="77" t="s">
        <v>109</v>
      </c>
      <c r="C17" s="85" cm="1">
        <f t="array" ref="C17:N18">Figure_Xaxis_labels</f>
        <v>2021</v>
      </c>
      <c r="D17" s="85">
        <v>0</v>
      </c>
      <c r="E17" s="85">
        <v>0</v>
      </c>
      <c r="F17" s="85">
        <v>2022</v>
      </c>
      <c r="G17" s="85">
        <v>0</v>
      </c>
      <c r="H17" s="85">
        <v>0</v>
      </c>
      <c r="I17" s="85">
        <v>0</v>
      </c>
      <c r="J17" s="85">
        <v>2023</v>
      </c>
      <c r="K17" s="85">
        <v>0</v>
      </c>
      <c r="L17" s="85">
        <v>0</v>
      </c>
      <c r="M17" s="85">
        <v>0</v>
      </c>
      <c r="N17" s="86">
        <v>2024</v>
      </c>
    </row>
    <row r="18" spans="1:16" x14ac:dyDescent="0.3">
      <c r="B18" s="81" t="s">
        <v>110</v>
      </c>
      <c r="C18" s="75" t="str">
        <v>Q2</v>
      </c>
      <c r="D18" s="75" t="str">
        <v>Q3</v>
      </c>
      <c r="E18" s="75" t="str">
        <v>Q4</v>
      </c>
      <c r="F18" s="75" t="str">
        <v>Q1</v>
      </c>
      <c r="G18" s="75" t="str">
        <v>Q2</v>
      </c>
      <c r="H18" s="75" t="str">
        <v>Q3</v>
      </c>
      <c r="I18" s="75" t="str">
        <v>Q4</v>
      </c>
      <c r="J18" s="75" t="str">
        <v>Q1</v>
      </c>
      <c r="K18" s="75" t="str">
        <v>Q2</v>
      </c>
      <c r="L18" s="75" t="str">
        <v>Q3</v>
      </c>
      <c r="M18" s="75" t="str">
        <v>Q4</v>
      </c>
      <c r="N18" s="87" t="str">
        <v>Q1</v>
      </c>
    </row>
    <row r="19" spans="1:16" x14ac:dyDescent="0.3">
      <c r="A19" t="s">
        <v>151</v>
      </c>
      <c r="B19" s="81" t="s">
        <v>111</v>
      </c>
      <c r="C19" s="75">
        <f t="shared" ref="C19:N19" ca="1" si="0">INDEX(INDIRECT(selected_dq_name_l&amp;indic_cell_ref_matrix),MATCH(selected_trust_l_code,INDIRECT(selected_dq_name_l&amp;indic_cell_ref_row_names),0),MATCH(C7,INDIRECT(selected_dq_name_l&amp;indic_cell_ref_col_names),0))</f>
        <v>2237</v>
      </c>
      <c r="D19" s="75">
        <f t="shared" ca="1" si="0"/>
        <v>2199</v>
      </c>
      <c r="E19" s="75">
        <f t="shared" ca="1" si="0"/>
        <v>2269</v>
      </c>
      <c r="F19" s="75">
        <f t="shared" ca="1" si="0"/>
        <v>2122</v>
      </c>
      <c r="G19" s="75">
        <f t="shared" ca="1" si="0"/>
        <v>2097</v>
      </c>
      <c r="H19" s="75">
        <f t="shared" ca="1" si="0"/>
        <v>2239</v>
      </c>
      <c r="I19" s="75">
        <f t="shared" ca="1" si="0"/>
        <v>2172</v>
      </c>
      <c r="J19" s="75">
        <f t="shared" ca="1" si="0"/>
        <v>2322</v>
      </c>
      <c r="K19" s="75">
        <f t="shared" ca="1" si="0"/>
        <v>2371</v>
      </c>
      <c r="L19" s="75">
        <f t="shared" ca="1" si="0"/>
        <v>2458</v>
      </c>
      <c r="M19" s="75">
        <f t="shared" ca="1" si="0"/>
        <v>2720</v>
      </c>
      <c r="N19" s="87">
        <f t="shared" ca="1" si="0"/>
        <v>2702</v>
      </c>
      <c r="P19" s="75"/>
    </row>
    <row r="20" spans="1:16" x14ac:dyDescent="0.3">
      <c r="A20" t="s">
        <v>152</v>
      </c>
      <c r="B20" s="81" t="s">
        <v>124</v>
      </c>
      <c r="C20" s="169">
        <f t="shared" ref="C20:N20" ca="1" si="1">INDEX(INDIRECT(selected_dq_name_l&amp;indic_cell_ref_matrix),MATCH(selected_trust_l_code,INDIRECT(selected_dq_name_l&amp;indic_cell_ref_row_names),0),MATCH(C8,INDIRECT(selected_dq_name_l&amp;indic_cell_ref_col_names),0))</f>
        <v>0.47206079959869385</v>
      </c>
      <c r="D20" s="169">
        <f t="shared" ca="1" si="1"/>
        <v>0.45520690083503723</v>
      </c>
      <c r="E20" s="169">
        <f t="shared" ca="1" si="1"/>
        <v>0.4446893036365509</v>
      </c>
      <c r="F20" s="169">
        <f t="shared" ca="1" si="1"/>
        <v>0.44627711176872253</v>
      </c>
      <c r="G20" s="169">
        <f t="shared" ca="1" si="1"/>
        <v>0.47782546281814575</v>
      </c>
      <c r="H20" s="169">
        <f t="shared" ca="1" si="1"/>
        <v>0.47923180460929871</v>
      </c>
      <c r="I20" s="169">
        <f t="shared" ca="1" si="1"/>
        <v>0.52255988121032715</v>
      </c>
      <c r="J20" s="169">
        <f t="shared" ca="1" si="1"/>
        <v>0.52239447832107544</v>
      </c>
      <c r="K20" s="169">
        <f t="shared" ca="1" si="1"/>
        <v>0.53353017568588257</v>
      </c>
      <c r="L20" s="169">
        <f t="shared" ca="1" si="1"/>
        <v>0.52969896793365479</v>
      </c>
      <c r="M20" s="169">
        <f t="shared" ca="1" si="1"/>
        <v>0.50955879688262939</v>
      </c>
      <c r="N20" s="170">
        <f t="shared" ca="1" si="1"/>
        <v>0.53441894054412842</v>
      </c>
    </row>
    <row r="21" spans="1:16" x14ac:dyDescent="0.3">
      <c r="A21" t="s">
        <v>153</v>
      </c>
      <c r="B21" s="81" t="s">
        <v>137</v>
      </c>
      <c r="C21" s="169">
        <f t="shared" ref="C21:N21" ca="1" si="2">INDEX(INDIRECT(selected_dq_name_l&amp;indic_cell_ref_matrix),MATCH(selected_trust_l_code,INDIRECT(selected_dq_name_l&amp;indic_cell_ref_row_names),0),MATCH(C9,INDIRECT(selected_dq_name_l&amp;indic_cell_ref_col_names),0))</f>
        <v>0.46370604634284973</v>
      </c>
      <c r="D21" s="169">
        <f t="shared" ca="1" si="2"/>
        <v>0.45727068185806274</v>
      </c>
      <c r="E21" s="169">
        <f t="shared" ca="1" si="2"/>
        <v>0.44871017336845398</v>
      </c>
      <c r="F21" s="169">
        <f t="shared" ca="1" si="2"/>
        <v>0.45591861009597778</v>
      </c>
      <c r="G21" s="169">
        <f t="shared" ca="1" si="2"/>
        <v>0.46794673800468445</v>
      </c>
      <c r="H21" s="169">
        <f t="shared" ca="1" si="2"/>
        <v>0.49323910474777222</v>
      </c>
      <c r="I21" s="169">
        <f t="shared" ca="1" si="2"/>
        <v>0.50809448957443237</v>
      </c>
      <c r="J21" s="169">
        <f t="shared" ca="1" si="2"/>
        <v>0.52629280090332031</v>
      </c>
      <c r="K21" s="169">
        <f t="shared" ca="1" si="2"/>
        <v>0.52859741449356079</v>
      </c>
      <c r="L21" s="169">
        <f t="shared" ca="1" si="2"/>
        <v>0.52364552021026611</v>
      </c>
      <c r="M21" s="169">
        <f t="shared" ca="1" si="2"/>
        <v>0.52436548471450806</v>
      </c>
      <c r="N21" s="170">
        <f t="shared" ca="1" si="2"/>
        <v>0.52194762229919434</v>
      </c>
    </row>
    <row r="22" spans="1:16" x14ac:dyDescent="0.3">
      <c r="A22" t="str">
        <f>Lists!C10</f>
        <v>Target (%):</v>
      </c>
      <c r="B22" s="81" t="s">
        <v>154</v>
      </c>
      <c r="C22" s="201">
        <f ca="1">INDEX(Lists!$A$11:$H$22,MATCH(selected_dq_name_l,Lists!$B$11:$B$22,0),MATCH($A$22,Lists!$A$10:$H$10,0))</f>
        <v>0.9</v>
      </c>
      <c r="D22" s="201">
        <f ca="1">INDEX(Lists!$A$11:$H$22,MATCH(selected_dq_name_l,Lists!$B$11:$B$22,0),MATCH($A$22,Lists!$A$10:$H$10,0))</f>
        <v>0.9</v>
      </c>
      <c r="E22" s="201">
        <f ca="1">INDEX(Lists!$A$11:$H$22,MATCH(selected_dq_name_l,Lists!$B$11:$B$22,0),MATCH($A$22,Lists!$A$10:$H$10,0))</f>
        <v>0.9</v>
      </c>
      <c r="F22" s="201">
        <f ca="1">INDEX(Lists!$A$11:$H$22,MATCH(selected_dq_name_l,Lists!$B$11:$B$22,0),MATCH($A$22,Lists!$A$10:$H$10,0))</f>
        <v>0.9</v>
      </c>
      <c r="G22" s="201">
        <f ca="1">INDEX(Lists!$A$11:$H$22,MATCH(selected_dq_name_l,Lists!$B$11:$B$22,0),MATCH($A$22,Lists!$A$10:$H$10,0))</f>
        <v>0.9</v>
      </c>
      <c r="H22" s="201">
        <f ca="1">INDEX(Lists!$A$11:$H$22,MATCH(selected_dq_name_l,Lists!$B$11:$B$22,0),MATCH($A$22,Lists!$A$10:$H$10,0))</f>
        <v>0.9</v>
      </c>
      <c r="I22" s="201">
        <f ca="1">INDEX(Lists!$A$11:$H$22,MATCH(selected_dq_name_l,Lists!$B$11:$B$22,0),MATCH($A$22,Lists!$A$10:$H$10,0))</f>
        <v>0.9</v>
      </c>
      <c r="J22" s="201">
        <f ca="1">INDEX(Lists!$A$11:$H$22,MATCH(selected_dq_name_l,Lists!$B$11:$B$22,0),MATCH($A$22,Lists!$A$10:$H$10,0))</f>
        <v>0.9</v>
      </c>
      <c r="K22" s="201">
        <f ca="1">INDEX(Lists!$A$11:$H$22,MATCH(selected_dq_name_l,Lists!$B$11:$B$22,0),MATCH($A$22,Lists!$A$10:$H$10,0))</f>
        <v>0.9</v>
      </c>
      <c r="L22" s="201">
        <f ca="1">INDEX(Lists!$A$11:$H$22,MATCH(selected_dq_name_l,Lists!$B$11:$B$22,0),MATCH($A$22,Lists!$A$10:$H$10,0))</f>
        <v>0.9</v>
      </c>
      <c r="M22" s="201">
        <f ca="1">INDEX(Lists!$A$11:$H$22,MATCH(selected_dq_name_l,Lists!$B$11:$B$22,0),MATCH($A$22,Lists!$A$10:$H$10,0))</f>
        <v>0.9</v>
      </c>
      <c r="N22" s="170">
        <f ca="1">INDEX(Lists!$A$11:$H$22,MATCH(selected_dq_name_l,Lists!$B$11:$B$22,0),MATCH($A$22,Lists!$A$10:$H$10,0))</f>
        <v>0.9</v>
      </c>
    </row>
    <row r="23" spans="1:16" x14ac:dyDescent="0.3">
      <c r="A23" s="34"/>
      <c r="B23" s="75" t="s">
        <v>715</v>
      </c>
      <c r="C23" s="169" t="e">
        <f t="shared" ref="C23:N23" ca="1" si="3">INDEX(INDIRECT(selected_dq_name_l&amp;indic_cell_ref_matrix),MATCH(selected_trust_l_code,INDIRECT(selected_dq_name_l&amp;indic_cell_ref_row_names),0),MATCH(C10,INDIRECT(selected_dq_name_l&amp;indic_cell_ref_col_names),0))</f>
        <v>#N/A</v>
      </c>
      <c r="D23" s="169" t="e">
        <f t="shared" ca="1" si="3"/>
        <v>#N/A</v>
      </c>
      <c r="E23" s="169" t="e">
        <f t="shared" ca="1" si="3"/>
        <v>#N/A</v>
      </c>
      <c r="F23" s="169" t="e">
        <f t="shared" ca="1" si="3"/>
        <v>#N/A</v>
      </c>
      <c r="G23" s="169" t="e">
        <f t="shared" ca="1" si="3"/>
        <v>#N/A</v>
      </c>
      <c r="H23" s="169" t="e">
        <f t="shared" ca="1" si="3"/>
        <v>#N/A</v>
      </c>
      <c r="I23" s="169" t="e">
        <f t="shared" ca="1" si="3"/>
        <v>#N/A</v>
      </c>
      <c r="J23" s="169" t="e">
        <f t="shared" ca="1" si="3"/>
        <v>#N/A</v>
      </c>
      <c r="K23" s="169" t="e">
        <f t="shared" ca="1" si="3"/>
        <v>#N/A</v>
      </c>
      <c r="L23" s="169" t="e">
        <f t="shared" ca="1" si="3"/>
        <v>#N/A</v>
      </c>
      <c r="M23" s="169" t="e">
        <f t="shared" ca="1" si="3"/>
        <v>#N/A</v>
      </c>
      <c r="N23" s="170" t="e">
        <f t="shared" ca="1" si="3"/>
        <v>#N/A</v>
      </c>
    </row>
    <row r="24" spans="1:16" x14ac:dyDescent="0.3">
      <c r="A24" s="34"/>
      <c r="B24" s="75" t="s">
        <v>716</v>
      </c>
      <c r="C24" s="169" t="e">
        <f t="shared" ref="C24:N24" ca="1" si="4">INDEX(INDIRECT(selected_dq_name_l&amp;indic_cell_ref_matrix),MATCH(selected_trust_l_code,INDIRECT(selected_dq_name_l&amp;indic_cell_ref_row_names),0),MATCH(C11,INDIRECT(selected_dq_name_l&amp;indic_cell_ref_col_names),0))</f>
        <v>#N/A</v>
      </c>
      <c r="D24" s="169" t="e">
        <f t="shared" ca="1" si="4"/>
        <v>#N/A</v>
      </c>
      <c r="E24" s="169" t="e">
        <f t="shared" ca="1" si="4"/>
        <v>#N/A</v>
      </c>
      <c r="F24" s="169" t="e">
        <f t="shared" ca="1" si="4"/>
        <v>#N/A</v>
      </c>
      <c r="G24" s="169" t="e">
        <f t="shared" ca="1" si="4"/>
        <v>#N/A</v>
      </c>
      <c r="H24" s="169" t="e">
        <f t="shared" ca="1" si="4"/>
        <v>#N/A</v>
      </c>
      <c r="I24" s="169" t="e">
        <f t="shared" ca="1" si="4"/>
        <v>#N/A</v>
      </c>
      <c r="J24" s="169" t="e">
        <f t="shared" ca="1" si="4"/>
        <v>#N/A</v>
      </c>
      <c r="K24" s="169" t="e">
        <f t="shared" ca="1" si="4"/>
        <v>#N/A</v>
      </c>
      <c r="L24" s="169" t="e">
        <f t="shared" ca="1" si="4"/>
        <v>#N/A</v>
      </c>
      <c r="M24" s="169" t="e">
        <f t="shared" ca="1" si="4"/>
        <v>#N/A</v>
      </c>
      <c r="N24" s="170" t="e">
        <f t="shared" ca="1" si="4"/>
        <v>#N/A</v>
      </c>
    </row>
    <row r="25" spans="1:16" x14ac:dyDescent="0.3">
      <c r="A25" s="34"/>
      <c r="B25" s="75" t="s">
        <v>754</v>
      </c>
      <c r="C25" s="169" t="e">
        <f t="shared" ref="C25:N25" ca="1" si="5">INDEX(INDIRECT(selected_dq_name_l&amp;indic_cell_ref_matrix),MATCH(selected_trust_l_code,INDIRECT(selected_dq_name_l&amp;indic_cell_ref_row_names),0),MATCH(C12,INDIRECT(selected_dq_name_l&amp;indic_cell_ref_col_names),0))</f>
        <v>#N/A</v>
      </c>
      <c r="D25" s="169" t="e">
        <f t="shared" ca="1" si="5"/>
        <v>#N/A</v>
      </c>
      <c r="E25" s="169" t="e">
        <f t="shared" ca="1" si="5"/>
        <v>#N/A</v>
      </c>
      <c r="F25" s="169" t="e">
        <f t="shared" ca="1" si="5"/>
        <v>#N/A</v>
      </c>
      <c r="G25" s="169" t="e">
        <f t="shared" ca="1" si="5"/>
        <v>#N/A</v>
      </c>
      <c r="H25" s="169" t="e">
        <f t="shared" ca="1" si="5"/>
        <v>#N/A</v>
      </c>
      <c r="I25" s="169" t="e">
        <f t="shared" ca="1" si="5"/>
        <v>#N/A</v>
      </c>
      <c r="J25" s="169" t="e">
        <f t="shared" ca="1" si="5"/>
        <v>#N/A</v>
      </c>
      <c r="K25" s="169" t="e">
        <f t="shared" ca="1" si="5"/>
        <v>#N/A</v>
      </c>
      <c r="L25" s="169" t="e">
        <f t="shared" ca="1" si="5"/>
        <v>#N/A</v>
      </c>
      <c r="M25" s="169" t="e">
        <f t="shared" ca="1" si="5"/>
        <v>#N/A</v>
      </c>
      <c r="N25" s="170" t="e">
        <f t="shared" ca="1" si="5"/>
        <v>#N/A</v>
      </c>
    </row>
    <row r="26" spans="1:16" x14ac:dyDescent="0.3">
      <c r="A26" s="34"/>
      <c r="B26" s="84" t="s">
        <v>755</v>
      </c>
      <c r="C26" s="171" t="e">
        <f t="shared" ref="C26:N26" ca="1" si="6">INDEX(INDIRECT(selected_dq_name_l&amp;indic_cell_ref_matrix),MATCH(selected_trust_l_code,INDIRECT(selected_dq_name_l&amp;indic_cell_ref_row_names),0),MATCH(C13,INDIRECT(selected_dq_name_l&amp;indic_cell_ref_col_names),0))</f>
        <v>#N/A</v>
      </c>
      <c r="D26" s="171" t="e">
        <f t="shared" ca="1" si="6"/>
        <v>#N/A</v>
      </c>
      <c r="E26" s="171" t="e">
        <f t="shared" ca="1" si="6"/>
        <v>#N/A</v>
      </c>
      <c r="F26" s="171" t="e">
        <f t="shared" ca="1" si="6"/>
        <v>#N/A</v>
      </c>
      <c r="G26" s="171" t="e">
        <f t="shared" ca="1" si="6"/>
        <v>#N/A</v>
      </c>
      <c r="H26" s="171" t="e">
        <f t="shared" ca="1" si="6"/>
        <v>#N/A</v>
      </c>
      <c r="I26" s="171" t="e">
        <f t="shared" ca="1" si="6"/>
        <v>#N/A</v>
      </c>
      <c r="J26" s="171" t="e">
        <f t="shared" ca="1" si="6"/>
        <v>#N/A</v>
      </c>
      <c r="K26" s="171" t="e">
        <f t="shared" ca="1" si="6"/>
        <v>#N/A</v>
      </c>
      <c r="L26" s="171" t="e">
        <f t="shared" ca="1" si="6"/>
        <v>#N/A</v>
      </c>
      <c r="M26" s="171" t="e">
        <f t="shared" ca="1" si="6"/>
        <v>#N/A</v>
      </c>
      <c r="N26" s="172" t="e">
        <f t="shared" ca="1" si="6"/>
        <v>#N/A</v>
      </c>
    </row>
    <row r="27" spans="1:16" x14ac:dyDescent="0.3">
      <c r="B27" s="75"/>
      <c r="C27" s="169"/>
      <c r="D27" s="169"/>
      <c r="E27" s="169"/>
      <c r="F27" s="169"/>
      <c r="G27" s="169"/>
      <c r="H27" s="169"/>
      <c r="I27" s="169"/>
      <c r="J27" s="169"/>
      <c r="K27" s="169"/>
      <c r="L27" s="169"/>
      <c r="M27" s="169"/>
      <c r="N27" s="202"/>
    </row>
    <row r="28" spans="1:16" x14ac:dyDescent="0.3">
      <c r="B28" s="74" t="s">
        <v>155</v>
      </c>
    </row>
    <row r="30" spans="1:16" x14ac:dyDescent="0.3">
      <c r="A30" s="75" t="s">
        <v>156</v>
      </c>
      <c r="B30" s="75"/>
      <c r="C30" s="75"/>
      <c r="D30" s="75"/>
      <c r="E30" s="75"/>
      <c r="F30" s="75"/>
      <c r="G30" s="75"/>
      <c r="H30" s="75"/>
      <c r="I30" s="75"/>
      <c r="J30" s="75"/>
      <c r="K30" s="75"/>
      <c r="L30" s="75"/>
      <c r="M30" s="75"/>
      <c r="N30" s="75"/>
    </row>
    <row r="31" spans="1:16" x14ac:dyDescent="0.3">
      <c r="A31" s="75"/>
      <c r="B31" s="77" t="s">
        <v>109</v>
      </c>
      <c r="C31" s="78" cm="1">
        <f t="array" ref="C31:N32">Figure_Xaxis_labels</f>
        <v>2021</v>
      </c>
      <c r="D31" s="78">
        <v>0</v>
      </c>
      <c r="E31" s="78">
        <v>0</v>
      </c>
      <c r="F31" s="78">
        <v>2022</v>
      </c>
      <c r="G31" s="78">
        <v>0</v>
      </c>
      <c r="H31" s="78">
        <v>0</v>
      </c>
      <c r="I31" s="78">
        <v>0</v>
      </c>
      <c r="J31" s="78">
        <v>2023</v>
      </c>
      <c r="K31" s="78">
        <v>0</v>
      </c>
      <c r="L31" s="78">
        <v>0</v>
      </c>
      <c r="M31" s="78">
        <v>0</v>
      </c>
      <c r="N31" s="79">
        <v>2024</v>
      </c>
    </row>
    <row r="32" spans="1:16" x14ac:dyDescent="0.3">
      <c r="A32" s="75"/>
      <c r="B32" s="81" t="s">
        <v>110</v>
      </c>
      <c r="C32" s="91" t="str">
        <v>Q2</v>
      </c>
      <c r="D32" s="91" t="str">
        <v>Q3</v>
      </c>
      <c r="E32" s="91" t="str">
        <v>Q4</v>
      </c>
      <c r="F32" s="91" t="str">
        <v>Q1</v>
      </c>
      <c r="G32" s="91" t="str">
        <v>Q2</v>
      </c>
      <c r="H32" s="91" t="str">
        <v>Q3</v>
      </c>
      <c r="I32" s="91" t="str">
        <v>Q4</v>
      </c>
      <c r="J32" s="91" t="str">
        <v>Q1</v>
      </c>
      <c r="K32" s="91" t="str">
        <v>Q2</v>
      </c>
      <c r="L32" s="91" t="str">
        <v>Q3</v>
      </c>
      <c r="M32" s="91" t="str">
        <v>Q4</v>
      </c>
      <c r="N32" s="80" t="str">
        <v>Q1</v>
      </c>
    </row>
    <row r="33" spans="1:23" x14ac:dyDescent="0.3">
      <c r="A33" s="75" t="b">
        <v>1</v>
      </c>
      <c r="B33" s="81" t="s">
        <v>157</v>
      </c>
      <c r="C33" s="91">
        <f t="shared" ref="C33:N33" ca="1" si="7">IF($A$33=TRUE,IF(C$19=denom_missing,NA(),C19),NA())</f>
        <v>2237</v>
      </c>
      <c r="D33" s="91">
        <f t="shared" ca="1" si="7"/>
        <v>2199</v>
      </c>
      <c r="E33" s="91">
        <f t="shared" ca="1" si="7"/>
        <v>2269</v>
      </c>
      <c r="F33" s="91">
        <f t="shared" ca="1" si="7"/>
        <v>2122</v>
      </c>
      <c r="G33" s="91">
        <f t="shared" ca="1" si="7"/>
        <v>2097</v>
      </c>
      <c r="H33" s="91">
        <f t="shared" ca="1" si="7"/>
        <v>2239</v>
      </c>
      <c r="I33" s="91">
        <f t="shared" ca="1" si="7"/>
        <v>2172</v>
      </c>
      <c r="J33" s="91">
        <f t="shared" ca="1" si="7"/>
        <v>2322</v>
      </c>
      <c r="K33" s="91">
        <f t="shared" ca="1" si="7"/>
        <v>2371</v>
      </c>
      <c r="L33" s="91">
        <f t="shared" ca="1" si="7"/>
        <v>2458</v>
      </c>
      <c r="M33" s="91">
        <f t="shared" ca="1" si="7"/>
        <v>2720</v>
      </c>
      <c r="N33" s="80">
        <f t="shared" ca="1" si="7"/>
        <v>2702</v>
      </c>
    </row>
    <row r="34" spans="1:23" x14ac:dyDescent="0.3">
      <c r="A34" s="75" t="b">
        <v>1</v>
      </c>
      <c r="B34" s="81" t="s">
        <v>767</v>
      </c>
      <c r="C34" s="82">
        <f t="shared" ref="C34:N34" ca="1" si="8">IF($A$34=TRUE,IF(C$19=denom_missing,NA(),C20),NA())</f>
        <v>0.47206079959869385</v>
      </c>
      <c r="D34" s="82">
        <f t="shared" ca="1" si="8"/>
        <v>0.45520690083503723</v>
      </c>
      <c r="E34" s="82">
        <f t="shared" ca="1" si="8"/>
        <v>0.4446893036365509</v>
      </c>
      <c r="F34" s="82">
        <f t="shared" ca="1" si="8"/>
        <v>0.44627711176872253</v>
      </c>
      <c r="G34" s="82">
        <f t="shared" ca="1" si="8"/>
        <v>0.47782546281814575</v>
      </c>
      <c r="H34" s="82">
        <f t="shared" ca="1" si="8"/>
        <v>0.47923180460929871</v>
      </c>
      <c r="I34" s="82">
        <f t="shared" ca="1" si="8"/>
        <v>0.52255988121032715</v>
      </c>
      <c r="J34" s="82">
        <f t="shared" ca="1" si="8"/>
        <v>0.52239447832107544</v>
      </c>
      <c r="K34" s="82">
        <f t="shared" ca="1" si="8"/>
        <v>0.53353017568588257</v>
      </c>
      <c r="L34" s="82">
        <f t="shared" ca="1" si="8"/>
        <v>0.52969896793365479</v>
      </c>
      <c r="M34" s="82">
        <f t="shared" ca="1" si="8"/>
        <v>0.50955879688262939</v>
      </c>
      <c r="N34" s="83">
        <f t="shared" ca="1" si="8"/>
        <v>0.53441894054412842</v>
      </c>
    </row>
    <row r="35" spans="1:23" x14ac:dyDescent="0.3">
      <c r="A35" s="75" t="b">
        <v>1</v>
      </c>
      <c r="B35" s="81" t="s">
        <v>766</v>
      </c>
      <c r="C35" s="82">
        <f t="shared" ref="C35:N35" ca="1" si="9">IF($A$35=TRUE,C21,NA())</f>
        <v>0.46370604634284973</v>
      </c>
      <c r="D35" s="82">
        <f t="shared" ca="1" si="9"/>
        <v>0.45727068185806274</v>
      </c>
      <c r="E35" s="82">
        <f t="shared" ca="1" si="9"/>
        <v>0.44871017336845398</v>
      </c>
      <c r="F35" s="82">
        <f t="shared" ca="1" si="9"/>
        <v>0.45591861009597778</v>
      </c>
      <c r="G35" s="82">
        <f t="shared" ca="1" si="9"/>
        <v>0.46794673800468445</v>
      </c>
      <c r="H35" s="82">
        <f t="shared" ca="1" si="9"/>
        <v>0.49323910474777222</v>
      </c>
      <c r="I35" s="82">
        <f t="shared" ca="1" si="9"/>
        <v>0.50809448957443237</v>
      </c>
      <c r="J35" s="82">
        <f t="shared" ca="1" si="9"/>
        <v>0.52629280090332031</v>
      </c>
      <c r="K35" s="82">
        <f t="shared" ca="1" si="9"/>
        <v>0.52859741449356079</v>
      </c>
      <c r="L35" s="82">
        <f t="shared" ca="1" si="9"/>
        <v>0.52364552021026611</v>
      </c>
      <c r="M35" s="82">
        <f t="shared" ca="1" si="9"/>
        <v>0.52436548471450806</v>
      </c>
      <c r="N35" s="83">
        <f t="shared" ca="1" si="9"/>
        <v>0.52194762229919434</v>
      </c>
    </row>
    <row r="36" spans="1:23" x14ac:dyDescent="0.3">
      <c r="A36" s="75" t="b">
        <v>1</v>
      </c>
      <c r="B36" s="81" t="s">
        <v>158</v>
      </c>
      <c r="C36" s="82">
        <f t="shared" ref="C36:N36" ca="1" si="10">IF($A$36=TRUE,IF(C22="Not applicable",NA(),C22),NA())</f>
        <v>0.9</v>
      </c>
      <c r="D36" s="82">
        <f t="shared" ca="1" si="10"/>
        <v>0.9</v>
      </c>
      <c r="E36" s="82">
        <f t="shared" ca="1" si="10"/>
        <v>0.9</v>
      </c>
      <c r="F36" s="82">
        <f t="shared" ca="1" si="10"/>
        <v>0.9</v>
      </c>
      <c r="G36" s="82">
        <f t="shared" ca="1" si="10"/>
        <v>0.9</v>
      </c>
      <c r="H36" s="82">
        <f t="shared" ca="1" si="10"/>
        <v>0.9</v>
      </c>
      <c r="I36" s="82">
        <f t="shared" ca="1" si="10"/>
        <v>0.9</v>
      </c>
      <c r="J36" s="82">
        <f t="shared" ca="1" si="10"/>
        <v>0.9</v>
      </c>
      <c r="K36" s="82">
        <f t="shared" ca="1" si="10"/>
        <v>0.9</v>
      </c>
      <c r="L36" s="82">
        <f t="shared" ca="1" si="10"/>
        <v>0.9</v>
      </c>
      <c r="M36" s="82">
        <f t="shared" ca="1" si="10"/>
        <v>0.9</v>
      </c>
      <c r="N36" s="83">
        <f t="shared" ca="1" si="10"/>
        <v>0.9</v>
      </c>
    </row>
    <row r="37" spans="1:23" x14ac:dyDescent="0.3">
      <c r="A37" s="75" t="b">
        <v>1</v>
      </c>
      <c r="B37" s="81" t="s">
        <v>758</v>
      </c>
      <c r="C37" s="82" t="e">
        <f t="shared" ref="C37:N37" ca="1" si="11">IF($A$37=TRUE,IF(C$19=denom_missing,NA(),C23),NA())</f>
        <v>#N/A</v>
      </c>
      <c r="D37" s="82" t="e">
        <f t="shared" ca="1" si="11"/>
        <v>#N/A</v>
      </c>
      <c r="E37" s="82" t="e">
        <f t="shared" ca="1" si="11"/>
        <v>#N/A</v>
      </c>
      <c r="F37" s="82" t="e">
        <f t="shared" ca="1" si="11"/>
        <v>#N/A</v>
      </c>
      <c r="G37" s="82" t="e">
        <f t="shared" ca="1" si="11"/>
        <v>#N/A</v>
      </c>
      <c r="H37" s="82" t="e">
        <f t="shared" ca="1" si="11"/>
        <v>#N/A</v>
      </c>
      <c r="I37" s="82" t="e">
        <f t="shared" ca="1" si="11"/>
        <v>#N/A</v>
      </c>
      <c r="J37" s="82" t="e">
        <f t="shared" ca="1" si="11"/>
        <v>#N/A</v>
      </c>
      <c r="K37" s="82" t="e">
        <f t="shared" ca="1" si="11"/>
        <v>#N/A</v>
      </c>
      <c r="L37" s="82" t="e">
        <f t="shared" ca="1" si="11"/>
        <v>#N/A</v>
      </c>
      <c r="M37" s="82" t="e">
        <f t="shared" ca="1" si="11"/>
        <v>#N/A</v>
      </c>
      <c r="N37" s="83" t="e">
        <f t="shared" ca="1" si="11"/>
        <v>#N/A</v>
      </c>
    </row>
    <row r="38" spans="1:23" x14ac:dyDescent="0.3">
      <c r="A38" s="75" t="b">
        <v>1</v>
      </c>
      <c r="B38" s="81" t="s">
        <v>759</v>
      </c>
      <c r="C38" s="82" t="e">
        <f t="shared" ref="C38:N38" ca="1" si="12">IF($A$38=TRUE,IF(C$19=denom_missing,NA(),C24),NA())</f>
        <v>#N/A</v>
      </c>
      <c r="D38" s="82" t="e">
        <f t="shared" ca="1" si="12"/>
        <v>#N/A</v>
      </c>
      <c r="E38" s="82" t="e">
        <f t="shared" ca="1" si="12"/>
        <v>#N/A</v>
      </c>
      <c r="F38" s="82" t="e">
        <f t="shared" ca="1" si="12"/>
        <v>#N/A</v>
      </c>
      <c r="G38" s="82" t="e">
        <f t="shared" ca="1" si="12"/>
        <v>#N/A</v>
      </c>
      <c r="H38" s="82" t="e">
        <f t="shared" ca="1" si="12"/>
        <v>#N/A</v>
      </c>
      <c r="I38" s="82" t="e">
        <f t="shared" ca="1" si="12"/>
        <v>#N/A</v>
      </c>
      <c r="J38" s="82" t="e">
        <f t="shared" ca="1" si="12"/>
        <v>#N/A</v>
      </c>
      <c r="K38" s="82" t="e">
        <f t="shared" ca="1" si="12"/>
        <v>#N/A</v>
      </c>
      <c r="L38" s="82" t="e">
        <f t="shared" ca="1" si="12"/>
        <v>#N/A</v>
      </c>
      <c r="M38" s="82" t="e">
        <f t="shared" ca="1" si="12"/>
        <v>#N/A</v>
      </c>
      <c r="N38" s="83" t="e">
        <f t="shared" ca="1" si="12"/>
        <v>#N/A</v>
      </c>
      <c r="O38" s="193"/>
      <c r="P38" s="193"/>
      <c r="Q38" s="193"/>
      <c r="R38" s="193"/>
      <c r="S38" s="193"/>
      <c r="T38" s="193"/>
      <c r="U38" s="193"/>
      <c r="V38" s="193"/>
      <c r="W38" s="193"/>
    </row>
    <row r="39" spans="1:23" x14ac:dyDescent="0.3">
      <c r="A39" s="75" t="b">
        <v>1</v>
      </c>
      <c r="B39" s="81" t="s">
        <v>760</v>
      </c>
      <c r="C39" s="82" t="e">
        <f t="shared" ref="C39:N39" ca="1" si="13">IF($A$39=TRUE,IF(C$19=denom_missing,NA(),C25),NA())</f>
        <v>#N/A</v>
      </c>
      <c r="D39" s="82" t="e">
        <f t="shared" ca="1" si="13"/>
        <v>#N/A</v>
      </c>
      <c r="E39" s="82" t="e">
        <f t="shared" ca="1" si="13"/>
        <v>#N/A</v>
      </c>
      <c r="F39" s="82" t="e">
        <f t="shared" ca="1" si="13"/>
        <v>#N/A</v>
      </c>
      <c r="G39" s="82" t="e">
        <f t="shared" ca="1" si="13"/>
        <v>#N/A</v>
      </c>
      <c r="H39" s="82" t="e">
        <f t="shared" ca="1" si="13"/>
        <v>#N/A</v>
      </c>
      <c r="I39" s="82" t="e">
        <f t="shared" ca="1" si="13"/>
        <v>#N/A</v>
      </c>
      <c r="J39" s="82" t="e">
        <f t="shared" ca="1" si="13"/>
        <v>#N/A</v>
      </c>
      <c r="K39" s="82" t="e">
        <f t="shared" ca="1" si="13"/>
        <v>#N/A</v>
      </c>
      <c r="L39" s="82" t="e">
        <f t="shared" ca="1" si="13"/>
        <v>#N/A</v>
      </c>
      <c r="M39" s="82" t="e">
        <f t="shared" ca="1" si="13"/>
        <v>#N/A</v>
      </c>
      <c r="N39" s="83" t="e">
        <f t="shared" ca="1" si="13"/>
        <v>#N/A</v>
      </c>
      <c r="O39" s="193"/>
      <c r="P39" s="193"/>
      <c r="Q39" s="193"/>
      <c r="R39" s="193"/>
      <c r="S39" s="193"/>
      <c r="T39" s="193"/>
      <c r="U39" s="193"/>
      <c r="V39" s="193"/>
      <c r="W39" s="193"/>
    </row>
    <row r="40" spans="1:23" x14ac:dyDescent="0.3">
      <c r="A40" s="75" t="b">
        <v>1</v>
      </c>
      <c r="B40" s="81" t="s">
        <v>761</v>
      </c>
      <c r="C40" s="82" t="e">
        <f t="shared" ref="C40:N40" ca="1" si="14">IF($A$40=TRUE,IF(C$19=denom_missing,NA(),C26),NA())</f>
        <v>#N/A</v>
      </c>
      <c r="D40" s="82" t="e">
        <f t="shared" ca="1" si="14"/>
        <v>#N/A</v>
      </c>
      <c r="E40" s="82" t="e">
        <f t="shared" ca="1" si="14"/>
        <v>#N/A</v>
      </c>
      <c r="F40" s="82" t="e">
        <f t="shared" ca="1" si="14"/>
        <v>#N/A</v>
      </c>
      <c r="G40" s="82" t="e">
        <f t="shared" ca="1" si="14"/>
        <v>#N/A</v>
      </c>
      <c r="H40" s="82" t="e">
        <f t="shared" ca="1" si="14"/>
        <v>#N/A</v>
      </c>
      <c r="I40" s="82" t="e">
        <f t="shared" ca="1" si="14"/>
        <v>#N/A</v>
      </c>
      <c r="J40" s="82" t="e">
        <f t="shared" ca="1" si="14"/>
        <v>#N/A</v>
      </c>
      <c r="K40" s="82" t="e">
        <f t="shared" ca="1" si="14"/>
        <v>#N/A</v>
      </c>
      <c r="L40" s="82" t="e">
        <f t="shared" ca="1" si="14"/>
        <v>#N/A</v>
      </c>
      <c r="M40" s="82" t="e">
        <f t="shared" ca="1" si="14"/>
        <v>#N/A</v>
      </c>
      <c r="N40" s="83" t="e">
        <f t="shared" ca="1" si="14"/>
        <v>#N/A</v>
      </c>
      <c r="O40" s="194"/>
      <c r="P40" s="194"/>
      <c r="Q40" s="194"/>
      <c r="R40" s="194"/>
      <c r="S40" s="194"/>
      <c r="T40" s="194"/>
      <c r="U40" s="194"/>
      <c r="V40" s="194"/>
      <c r="W40" s="194"/>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1ace26c8-8b80-4210-9d0f-c36d63900830">
      <UserInfo>
        <DisplayName>Ella Barber</DisplayName>
        <AccountId>15</AccountId>
        <AccountType/>
      </UserInfo>
      <UserInfo>
        <DisplayName>Julie Nossiter</DisplayName>
        <AccountId>18</AccountId>
        <AccountType/>
      </UserInfo>
      <UserInfo>
        <DisplayName>Verity Walker</DisplayName>
        <AccountId>53</AccountId>
        <AccountType/>
      </UserInfo>
      <UserInfo>
        <DisplayName>Andrew Hutchings</DisplayName>
        <AccountId>17</AccountId>
        <AccountType/>
      </UserInfo>
      <UserInfo>
        <DisplayName>Amanda McDonell</DisplayName>
        <AccountId>14</AccountId>
        <AccountType/>
      </UserInfo>
    </SharedWithUsers>
    <_activity xmlns="1ac19544-49d5-45e4-9b98-2226fff1e962"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92393CF68CA544999728D816BB16EA8" ma:contentTypeVersion="14" ma:contentTypeDescription="Create a new document." ma:contentTypeScope="" ma:versionID="277d3b2338551c97dde6f7a310d876ae">
  <xsd:schema xmlns:xsd="http://www.w3.org/2001/XMLSchema" xmlns:xs="http://www.w3.org/2001/XMLSchema" xmlns:p="http://schemas.microsoft.com/office/2006/metadata/properties" xmlns:ns3="1ac19544-49d5-45e4-9b98-2226fff1e962" xmlns:ns4="1ace26c8-8b80-4210-9d0f-c36d63900830" targetNamespace="http://schemas.microsoft.com/office/2006/metadata/properties" ma:root="true" ma:fieldsID="e08b7faa34bfa4d7585f1e3a9b168b81" ns3:_="" ns4:_="">
    <xsd:import namespace="1ac19544-49d5-45e4-9b98-2226fff1e962"/>
    <xsd:import namespace="1ace26c8-8b80-4210-9d0f-c36d63900830"/>
    <xsd:element name="properties">
      <xsd:complexType>
        <xsd:sequence>
          <xsd:element name="documentManagement">
            <xsd:complexType>
              <xsd:all>
                <xsd:element ref="ns3:MediaServiceMetadata" minOccurs="0"/>
                <xsd:element ref="ns3:MediaServiceFastMetadata" minOccurs="0"/>
                <xsd:element ref="ns3:_activity" minOccurs="0"/>
                <xsd:element ref="ns4:SharedWithUsers" minOccurs="0"/>
                <xsd:element ref="ns4:SharedWithDetails" minOccurs="0"/>
                <xsd:element ref="ns4:SharingHintHash" minOccurs="0"/>
                <xsd:element ref="ns3:MediaServiceDateTaken" minOccurs="0"/>
                <xsd:element ref="ns3:MediaServiceAutoTags" minOccurs="0"/>
                <xsd:element ref="ns3:MediaLengthInSeconds" minOccurs="0"/>
                <xsd:element ref="ns3:MediaServiceObjectDetectorVersions" minOccurs="0"/>
                <xsd:element ref="ns3:MediaServiceGenerationTime" minOccurs="0"/>
                <xsd:element ref="ns3:MediaServiceEventHashCode"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ac19544-49d5-45e4-9b98-2226fff1e9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activity" ma:index="10" nillable="true" ma:displayName="_activity" ma:hidden="true" ma:internalName="_activity">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ystemTags" ma:index="20" nillable="true" ma:displayName="MediaServiceSystemTags" ma:hidden="true" ma:internalName="MediaServiceSystemTags" ma:readOnly="true">
      <xsd:simpleType>
        <xsd:restriction base="dms:Note"/>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ace26c8-8b80-4210-9d0f-c36d63900830"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SharingHintHash" ma:index="13"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x m l n s = " h t t p : / / s c h e m a s . m i c r o s o f t . c o m / D a t a M a s h u p " > A A A A A B Y D A A B Q S w M E F A A C A A g A p b l E W E d m l i W m A A A A 9 g A A A B I A H A B D b 2 5 m a W c v U G F j a 2 F n Z S 5 4 b W w g o h g A K K A U A A A A A A A A A A A A A A A A A A A A A A A A A A A A h Y 8 x D o I w G I W v Q r r T l m o M I a U k O r h I Y m J i X J t S o R F + D C 2 W u z l 4 J K 8 g R l E 3 x / e 9 b 3 j v f r 3 x b G j q 4 K I 7 a 1 p I U Y Q p C j S o t j B Q p q h 3 x z B G m e B b q U 6 y 1 M E o g 0 0 G W 6 S o c u 6 c E O K 9 x 3 6 G 2 6 4 k j N K I H P L N T l W 6 k e g j m / 9 y a M A 6 C U o j w f e v M Y L h i M 3 x g s W Y c j J B n h v 4 C m z c + 2 x / I F / 1 t e s 7 L T S E 6 y U n U + T k / U E 8 A F B L A w Q U A A I A C A C l u U R Y 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p b l E W C i K R 7 g O A A A A E Q A A A B M A H A B G b 3 J t d W x h c y 9 T Z W N 0 a W 9 u M S 5 t I K I Y A C i g F A A A A A A A A A A A A A A A A A A A A A A A A A A A A C t O T S 7 J z M 9 T C I b Q h t Y A U E s B A i 0 A F A A C A A g A p b l E W E d m l i W m A A A A 9 g A A A B I A A A A A A A A A A A A A A A A A A A A A A E N v b m Z p Z y 9 Q Y W N r Y W d l L n h t b F B L A Q I t A B Q A A g A I A K W 5 R F g P y u m r p A A A A O k A A A A T A A A A A A A A A A A A A A A A A P I A A A B b Q 2 9 u d G V u d F 9 U e X B l c 1 0 u e G 1 s U E s B A i 0 A F A A C A A g A p b l E W C 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N I Z f p w 5 f / h K s b k K 0 I T M x L 4 A A A A A A g A A A A A A A 2 Y A A M A A A A A Q A A A A 3 m A h P L I e 3 r 7 7 5 V l J z 1 H l u Q A A A A A E g A A A o A A A A B A A A A A S z n J k 9 0 H f V / s z 4 S M E X 8 w K U A A A A G Z x O + O W K O x c j 8 Q Y S 8 r 3 k v U 5 2 D L H y G u t j h o P o c m 8 Y V m q G h t i s o e K s S p Q x c / d X v k a 4 q z 0 t 4 S R q n w R 1 Y E E n H G b v C / z W k E t 6 4 5 P U D w 1 W S c T 2 h O 0 F A A A A A f 0 z v L 6 n j v q 3 a Q y n x g W Q T t M S n u 2 < / D a t a M a s h u p > 
</file>

<file path=customXml/itemProps1.xml><?xml version="1.0" encoding="utf-8"?>
<ds:datastoreItem xmlns:ds="http://schemas.openxmlformats.org/officeDocument/2006/customXml" ds:itemID="{E7265DE0-9FDD-46E2-9A48-33AE64C459B4}">
  <ds:schemaRefs>
    <ds:schemaRef ds:uri="http://schemas.microsoft.com/office/2006/documentManagement/types"/>
    <ds:schemaRef ds:uri="1ace26c8-8b80-4210-9d0f-c36d63900830"/>
    <ds:schemaRef ds:uri="http://purl.org/dc/dcmitype/"/>
    <ds:schemaRef ds:uri="http://www.w3.org/XML/1998/namespace"/>
    <ds:schemaRef ds:uri="http://purl.org/dc/elements/1.1/"/>
    <ds:schemaRef ds:uri="http://purl.org/dc/terms/"/>
    <ds:schemaRef ds:uri="1ac19544-49d5-45e4-9b98-2226fff1e962"/>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5B9468B2-9607-4939-B4DA-11147D57A3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ac19544-49d5-45e4-9b98-2226fff1e962"/>
    <ds:schemaRef ds:uri="1ace26c8-8b80-4210-9d0f-c36d6390083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799BBAF-2B7B-4BE9-ACB8-390D485DDD5D}">
  <ds:schemaRefs>
    <ds:schemaRef ds:uri="http://schemas.microsoft.com/sharepoint/v3/contenttype/forms"/>
  </ds:schemaRefs>
</ds:datastoreItem>
</file>

<file path=customXml/itemProps4.xml><?xml version="1.0" encoding="utf-8"?>
<ds:datastoreItem xmlns:ds="http://schemas.openxmlformats.org/officeDocument/2006/customXml" ds:itemID="{774FF676-B9CF-4EB4-AE44-19C2AF8358B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67</vt:i4>
      </vt:variant>
    </vt:vector>
  </HeadingPairs>
  <TitlesOfParts>
    <vt:vector size="99" baseType="lpstr">
      <vt:lpstr>Cover sheet</vt:lpstr>
      <vt:lpstr>Introduction</vt:lpstr>
      <vt:lpstr>Explanations</vt:lpstr>
      <vt:lpstr>Acknowledgements</vt:lpstr>
      <vt:lpstr>Dashboard</vt:lpstr>
      <vt:lpstr>Cancer Alliance Results</vt:lpstr>
      <vt:lpstr>Patient Characteristics</vt:lpstr>
      <vt:lpstr>Links</vt:lpstr>
      <vt:lpstr>data_staging_longitudinal</vt:lpstr>
      <vt:lpstr>Lists</vt:lpstr>
      <vt:lpstr>cns_p</vt:lpstr>
      <vt:lpstr>ethnicity_p</vt:lpstr>
      <vt:lpstr>size_p</vt:lpstr>
      <vt:lpstr>mdt_p</vt:lpstr>
      <vt:lpstr>Version_control</vt:lpstr>
      <vt:lpstr>Adaptation notes</vt:lpstr>
      <vt:lpstr>trust_list</vt:lpstr>
      <vt:lpstr>trusts_per_ca</vt:lpstr>
      <vt:lpstr>morph_p</vt:lpstr>
      <vt:lpstr>ps_p</vt:lpstr>
      <vt:lpstr>tnm_p</vt:lpstr>
      <vt:lpstr>full_tnm_p</vt:lpstr>
      <vt:lpstr>31days_p</vt:lpstr>
      <vt:lpstr>chk trust lists</vt:lpstr>
      <vt:lpstr>trust_data_quality</vt:lpstr>
      <vt:lpstr>aliance_data_quality</vt:lpstr>
      <vt:lpstr>national_data_quality</vt:lpstr>
      <vt:lpstr>trust_patient_char</vt:lpstr>
      <vt:lpstr>aliance_patient_chars</vt:lpstr>
      <vt:lpstr>national_patient_chars</vt:lpstr>
      <vt:lpstr>Dashboard-cross section</vt:lpstr>
      <vt:lpstr>Dashboard-pt char</vt:lpstr>
      <vt:lpstr>aliance_dq_cols</vt:lpstr>
      <vt:lpstr>aliance_dq_rows</vt:lpstr>
      <vt:lpstr>aliance_dq_table</vt:lpstr>
      <vt:lpstr>aliance_ptc_cols</vt:lpstr>
      <vt:lpstr>aliance_ptc_rows</vt:lpstr>
      <vt:lpstr>aliance_ptc_table</vt:lpstr>
      <vt:lpstr>denom_missing</vt:lpstr>
      <vt:lpstr>dq_cell_ref_col_names</vt:lpstr>
      <vt:lpstr>dq_cell_ref_matrix</vt:lpstr>
      <vt:lpstr>dq_cell_ref_row_names</vt:lpstr>
      <vt:lpstr>dq_cell_ref_table</vt:lpstr>
      <vt:lpstr>end_date_england</vt:lpstr>
      <vt:lpstr>Figure_Xaxis_labels</vt:lpstr>
      <vt:lpstr>indic_cell_ref_col_names</vt:lpstr>
      <vt:lpstr>indic_cell_ref_matrix</vt:lpstr>
      <vt:lpstr>indic_cell_ref_row_names</vt:lpstr>
      <vt:lpstr>n_ca</vt:lpstr>
      <vt:lpstr>n_trusts</vt:lpstr>
      <vt:lpstr>n_trusts_in_CA</vt:lpstr>
      <vt:lpstr>national_dq_cols</vt:lpstr>
      <vt:lpstr>national_dq_table</vt:lpstr>
      <vt:lpstr>national_ptc_cols</vt:lpstr>
      <vt:lpstr>national_ptc_row</vt:lpstr>
      <vt:lpstr>publication_quarter</vt:lpstr>
      <vt:lpstr>publication_year</vt:lpstr>
      <vt:lpstr>selected_dq_datasource_l</vt:lpstr>
      <vt:lpstr>selected_dq_datasource_xc</vt:lpstr>
      <vt:lpstr>selected_dq_datavar_l</vt:lpstr>
      <vt:lpstr>selected_dq_datavar_xc</vt:lpstr>
      <vt:lpstr>selected_dq_denom_l</vt:lpstr>
      <vt:lpstr>selected_dq_denom_xc</vt:lpstr>
      <vt:lpstr>selected_dq_denomdescr_l</vt:lpstr>
      <vt:lpstr>selected_dq_denomdescr_xc</vt:lpstr>
      <vt:lpstr>selected_dq_descr_l</vt:lpstr>
      <vt:lpstr>selected_dq_descr_xc</vt:lpstr>
      <vt:lpstr>selected_dq_name_l</vt:lpstr>
      <vt:lpstr>selected_dq_name_xc</vt:lpstr>
      <vt:lpstr>selected_dq_num_l</vt:lpstr>
      <vt:lpstr>selected_dq_num_xc</vt:lpstr>
      <vt:lpstr>selected_dq_target_l</vt:lpstr>
      <vt:lpstr>selected_dq_target_xc</vt:lpstr>
      <vt:lpstr>selected_dq_time_l</vt:lpstr>
      <vt:lpstr>selected_dq_time_xc</vt:lpstr>
      <vt:lpstr>selected_trust_l</vt:lpstr>
      <vt:lpstr>selected_trust_l_ca_code</vt:lpstr>
      <vt:lpstr>selected_trust_l_ca_name</vt:lpstr>
      <vt:lpstr>selected_trust_l_code</vt:lpstr>
      <vt:lpstr>selected_trust_ptc</vt:lpstr>
      <vt:lpstr>selected_trust_ptc_ca_code</vt:lpstr>
      <vt:lpstr>selected_trust_ptc_ca_name</vt:lpstr>
      <vt:lpstr>selected_trust_ptc_code</vt:lpstr>
      <vt:lpstr>selected_trust_xc</vt:lpstr>
      <vt:lpstr>selected_trust_xc_ca_code</vt:lpstr>
      <vt:lpstr>selected_trust_xc_ca_name</vt:lpstr>
      <vt:lpstr>selected_trust_xc_code</vt:lpstr>
      <vt:lpstr>start_date_england</vt:lpstr>
      <vt:lpstr>table_national_dq</vt:lpstr>
      <vt:lpstr>table_trust_ca_assoc</vt:lpstr>
      <vt:lpstr>table_trust_dq</vt:lpstr>
      <vt:lpstr>table_trusts_per_CA</vt:lpstr>
      <vt:lpstr>trust_dq_cols</vt:lpstr>
      <vt:lpstr>trust_dq_rows</vt:lpstr>
      <vt:lpstr>trust_dq_table</vt:lpstr>
      <vt:lpstr>trust_ptc_cols</vt:lpstr>
      <vt:lpstr>trust_ptc_rows</vt:lpstr>
      <vt:lpstr>trust_ptc_table</vt:lpstr>
      <vt:lpstr>trusts_per_CA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Ella Barber</dc:creator>
  <cp:keywords/>
  <dc:description/>
  <cp:lastModifiedBy>Marina Parry</cp:lastModifiedBy>
  <cp:revision/>
  <cp:lastPrinted>2024-03-15T15:59:34Z</cp:lastPrinted>
  <dcterms:created xsi:type="dcterms:W3CDTF">2023-03-10T15:09:40Z</dcterms:created>
  <dcterms:modified xsi:type="dcterms:W3CDTF">2024-10-09T15:34:32Z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0x010100A92393CF68CA544999728D816BB16EA8</vt:lpwstr>
  </property>
  <property fmtid="{D5CDD505-2E9C-101B-9397-08002B2CF9AE}" pid="3" name="MediaServiceImageTags">
    <vt:lpwstr/>
  </property>
</Properties>
</file>