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hidePivotFieldList="1" defaultThemeVersion="166925"/>
  <mc:AlternateContent xmlns:mc="http://schemas.openxmlformats.org/markup-compatibility/2006">
    <mc:Choice Requires="x15">
      <x15ac:absPath xmlns:x15ac="http://schemas.microsoft.com/office/spreadsheetml/2010/11/ac" url="S:\NLCA\2022\Reports\SotN report 2023\1_Report preparation\5.0 Version 2 document to publish\"/>
    </mc:Choice>
  </mc:AlternateContent>
  <xr:revisionPtr revIDLastSave="0" documentId="13_ncr:1_{82BC695C-ACB7-479C-9D14-B05E85181551}" xr6:coauthVersionLast="47" xr6:coauthVersionMax="47" xr10:uidLastSave="{00000000-0000-0000-0000-000000000000}"/>
  <workbookProtection workbookAlgorithmName="SHA-512" workbookHashValue="9H/RsJ7sNU7+mBcj4OvIWQweO2mOISdb3TazhXWrtZQhZ/47IEK9jCQTu0fHJITtlWmMQkzfBA+p9glsyKhsZQ==" workbookSaltValue="oGXHi/POpps91DNoeYCVmQ==" workbookSpinCount="100000" lockStructure="1"/>
  <bookViews>
    <workbookView xWindow="29610" yWindow="-120" windowWidth="28110" windowHeight="16440" tabRatio="859" activeTab="2" xr2:uid="{00000000-000D-0000-FFFF-FFFF00000000}"/>
  </bookViews>
  <sheets>
    <sheet name="Introduction" sheetId="11" r:id="rId1"/>
    <sheet name="Acknowledgements" sheetId="13" r:id="rId2"/>
    <sheet name="Dashboard" sheetId="20" r:id="rId3"/>
    <sheet name="Links" sheetId="21" state="hidden" r:id="rId4"/>
    <sheet name="indicator_list" sheetId="4" state="hidden" r:id="rId5"/>
    <sheet name="data_quality_list" sheetId="25" state="hidden" r:id="rId6"/>
    <sheet name="trust_list" sheetId="36" state="hidden" r:id="rId7"/>
    <sheet name="trusts_per_ca" sheetId="17" state="hidden" r:id="rId8"/>
    <sheet name="trust_data_quality" sheetId="24" state="hidden" r:id="rId9"/>
    <sheet name="aliance_data_quality" sheetId="23" state="hidden" r:id="rId10"/>
    <sheet name="national_data_quality" sheetId="22" state="hidden" r:id="rId11"/>
    <sheet name="trust_indicator_data" sheetId="3" state="hidden" r:id="rId12"/>
    <sheet name="aliance_indicator_data" sheetId="28" state="hidden" r:id="rId13"/>
    <sheet name="national_indicator_data" sheetId="9" state="hidden" r:id="rId14"/>
    <sheet name="trust_patient_char" sheetId="34" state="hidden" r:id="rId15"/>
    <sheet name="aliance_patient_chars" sheetId="30" state="hidden" r:id="rId16"/>
    <sheet name="national_patient_chars" sheetId="32" state="hidden" r:id="rId17"/>
  </sheets>
  <definedNames>
    <definedName name="_xlnm._FilterDatabase" localSheetId="1" hidden="1">Acknowledgements!$C$12:$C$17</definedName>
    <definedName name="_xlnm._FilterDatabase" localSheetId="8" hidden="1">trust_data_quality!$A$1:$T$127</definedName>
    <definedName name="_xlnm._FilterDatabase" localSheetId="11" hidden="1">trust_indicator_data!$A$1:$BK$127</definedName>
    <definedName name="n_trusts_in_CA">Links!$F$12</definedName>
    <definedName name="selected_dq_denom">Links!$E$17</definedName>
    <definedName name="selected_dq_descr">Links!$B$17</definedName>
    <definedName name="selected_dq_name">Links!$C$17</definedName>
    <definedName name="selected_dq_target">Links!$D$17</definedName>
    <definedName name="selected_indic_denom">Links!$F$7</definedName>
    <definedName name="selected_indic_descr">Links!$B$7</definedName>
    <definedName name="selected_indic_name_adj">Links!$D$7</definedName>
    <definedName name="selected_indic_name_unadj">Links!$C$7</definedName>
    <definedName name="selected_indic_num">Links!$E$7</definedName>
    <definedName name="selected_trust">Links!$B$12</definedName>
    <definedName name="selected_trust_ca_code">Links!$E$12</definedName>
    <definedName name="selected_trust_ca_name">Links!$D$12</definedName>
    <definedName name="selected_trust_code">Links!$C$12</definedName>
    <definedName name="table_aliance_indic">aliance_indicator_data!$A$1:$AI$22</definedName>
    <definedName name="table_indic_index">indicator_list!$A$1:$H$11</definedName>
    <definedName name="table_national_dq">national_data_quality!$A$1:$P$2</definedName>
    <definedName name="table_national_indic">national_indicator_data!$A$1:$R$7</definedName>
    <definedName name="table_trust_dq">trust_data_quality!$A$1:$T$127</definedName>
    <definedName name="table_trust_indic_data">trust_indicator_data!$A$1:$BE$127</definedName>
    <definedName name="table_trusts_per_CA">trusts_per_ca!$A$3:$B$24</definedName>
  </definedNames>
  <calcPr calcId="191029"/>
  <pivotCaches>
    <pivotCache cacheId="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 i="4" l="1"/>
  <c r="I10" i="4"/>
  <c r="I3" i="4"/>
  <c r="I4" i="4"/>
  <c r="I5" i="4"/>
  <c r="I6" i="4"/>
  <c r="I2" i="4"/>
  <c r="AB22" i="28" l="1"/>
  <c r="AB21" i="28"/>
  <c r="AB20" i="28"/>
  <c r="AB19" i="28"/>
  <c r="AB18" i="28"/>
  <c r="AB17" i="28"/>
  <c r="AB16" i="28"/>
  <c r="AB15" i="28"/>
  <c r="AB14" i="28"/>
  <c r="AB13" i="28"/>
  <c r="AB12" i="28"/>
  <c r="AB11" i="28"/>
  <c r="AB10" i="28"/>
  <c r="AB9" i="28"/>
  <c r="AB8" i="28"/>
  <c r="AB7" i="28"/>
  <c r="AB6" i="28"/>
  <c r="AB5" i="28"/>
  <c r="AB4" i="28"/>
  <c r="AB3" i="28"/>
  <c r="AB2" i="28"/>
  <c r="O97" i="20" l="1"/>
  <c r="O96" i="20"/>
  <c r="O95" i="20"/>
  <c r="O94" i="20"/>
  <c r="O93" i="20"/>
  <c r="O90" i="20"/>
  <c r="O89" i="20"/>
  <c r="O88" i="20"/>
  <c r="O87" i="20"/>
  <c r="O86" i="20"/>
  <c r="O84" i="20"/>
  <c r="O83" i="20"/>
  <c r="O82" i="20"/>
  <c r="O81" i="20"/>
  <c r="G96" i="20"/>
  <c r="G95" i="20"/>
  <c r="G94" i="20"/>
  <c r="G93" i="20"/>
  <c r="G92" i="20"/>
  <c r="G89" i="20"/>
  <c r="G88" i="20"/>
  <c r="G87" i="20"/>
  <c r="G86" i="20"/>
  <c r="G85" i="20"/>
  <c r="G82" i="20"/>
  <c r="G81" i="20"/>
  <c r="O98" i="20" l="1"/>
  <c r="O91" i="20"/>
  <c r="G90" i="20"/>
  <c r="G83" i="20"/>
  <c r="AC1" i="3"/>
  <c r="O1" i="3"/>
  <c r="Q1" i="3"/>
  <c r="AC127" i="3"/>
  <c r="Q127" i="3"/>
  <c r="O127" i="3"/>
  <c r="M127" i="3"/>
  <c r="AC126" i="3"/>
  <c r="Q126" i="3"/>
  <c r="O126" i="3"/>
  <c r="M126" i="3"/>
  <c r="AC125" i="3"/>
  <c r="Q125" i="3"/>
  <c r="O125" i="3"/>
  <c r="M125" i="3"/>
  <c r="AC124" i="3"/>
  <c r="Q124" i="3"/>
  <c r="O124" i="3"/>
  <c r="M124" i="3"/>
  <c r="AC123" i="3"/>
  <c r="Q123" i="3"/>
  <c r="O123" i="3"/>
  <c r="M123" i="3"/>
  <c r="AC122" i="3"/>
  <c r="Q122" i="3"/>
  <c r="O122" i="3"/>
  <c r="M122" i="3"/>
  <c r="AC121" i="3"/>
  <c r="Q121" i="3"/>
  <c r="O121" i="3"/>
  <c r="M121" i="3"/>
  <c r="AC120" i="3"/>
  <c r="Q120" i="3"/>
  <c r="O120" i="3"/>
  <c r="M120" i="3"/>
  <c r="AC119" i="3"/>
  <c r="Q119" i="3"/>
  <c r="O119" i="3"/>
  <c r="M119" i="3"/>
  <c r="AC118" i="3"/>
  <c r="Q118" i="3"/>
  <c r="O118" i="3"/>
  <c r="M118" i="3"/>
  <c r="AC117" i="3"/>
  <c r="Q117" i="3"/>
  <c r="O117" i="3"/>
  <c r="M117" i="3"/>
  <c r="AC116" i="3"/>
  <c r="Q116" i="3"/>
  <c r="O116" i="3"/>
  <c r="M116" i="3"/>
  <c r="AC115" i="3"/>
  <c r="Q115" i="3"/>
  <c r="O115" i="3"/>
  <c r="M115" i="3"/>
  <c r="AC114" i="3"/>
  <c r="Q114" i="3"/>
  <c r="O114" i="3"/>
  <c r="M114" i="3"/>
  <c r="AC113" i="3"/>
  <c r="Q113" i="3"/>
  <c r="O113" i="3"/>
  <c r="M113" i="3"/>
  <c r="AC112" i="3"/>
  <c r="Q112" i="3"/>
  <c r="O112" i="3"/>
  <c r="M112" i="3"/>
  <c r="AC111" i="3"/>
  <c r="Q111" i="3"/>
  <c r="O111" i="3"/>
  <c r="M111" i="3"/>
  <c r="AC110" i="3"/>
  <c r="Q110" i="3"/>
  <c r="O110" i="3"/>
  <c r="M110" i="3"/>
  <c r="AC109" i="3"/>
  <c r="Q109" i="3"/>
  <c r="O109" i="3"/>
  <c r="M109" i="3"/>
  <c r="AC108" i="3"/>
  <c r="Q108" i="3"/>
  <c r="O108" i="3"/>
  <c r="M108" i="3"/>
  <c r="AC107" i="3"/>
  <c r="Q107" i="3"/>
  <c r="O107" i="3"/>
  <c r="M107" i="3"/>
  <c r="AC106" i="3"/>
  <c r="Q106" i="3"/>
  <c r="O106" i="3"/>
  <c r="M106" i="3"/>
  <c r="AC105" i="3"/>
  <c r="Q105" i="3"/>
  <c r="O105" i="3"/>
  <c r="M105" i="3"/>
  <c r="AC104" i="3"/>
  <c r="Q104" i="3"/>
  <c r="O104" i="3"/>
  <c r="M104" i="3"/>
  <c r="AC103" i="3"/>
  <c r="Q103" i="3"/>
  <c r="O103" i="3"/>
  <c r="M103" i="3"/>
  <c r="AC102" i="3"/>
  <c r="Q102" i="3"/>
  <c r="O102" i="3"/>
  <c r="M102" i="3"/>
  <c r="AC101" i="3"/>
  <c r="Q101" i="3"/>
  <c r="O101" i="3"/>
  <c r="M101" i="3"/>
  <c r="AC100" i="3"/>
  <c r="Q100" i="3"/>
  <c r="O100" i="3"/>
  <c r="M100" i="3"/>
  <c r="AC99" i="3"/>
  <c r="Q99" i="3"/>
  <c r="O99" i="3"/>
  <c r="M99" i="3"/>
  <c r="AC98" i="3"/>
  <c r="Q98" i="3"/>
  <c r="O98" i="3"/>
  <c r="M98" i="3"/>
  <c r="AC97" i="3"/>
  <c r="Q97" i="3"/>
  <c r="O97" i="3"/>
  <c r="M97" i="3"/>
  <c r="AC96" i="3"/>
  <c r="Q96" i="3"/>
  <c r="O96" i="3"/>
  <c r="M96" i="3"/>
  <c r="AC95" i="3"/>
  <c r="Q95" i="3"/>
  <c r="O95" i="3"/>
  <c r="M95" i="3"/>
  <c r="AC94" i="3"/>
  <c r="Q94" i="3"/>
  <c r="O94" i="3"/>
  <c r="M94" i="3"/>
  <c r="AC93" i="3"/>
  <c r="Q93" i="3"/>
  <c r="O93" i="3"/>
  <c r="M93" i="3"/>
  <c r="AC92" i="3"/>
  <c r="Q92" i="3"/>
  <c r="O92" i="3"/>
  <c r="M92" i="3"/>
  <c r="AC91" i="3"/>
  <c r="Q91" i="3"/>
  <c r="O91" i="3"/>
  <c r="M91" i="3"/>
  <c r="AC90" i="3"/>
  <c r="Q90" i="3"/>
  <c r="O90" i="3"/>
  <c r="M90" i="3"/>
  <c r="AC89" i="3"/>
  <c r="Q89" i="3"/>
  <c r="O89" i="3"/>
  <c r="M89" i="3"/>
  <c r="AC88" i="3"/>
  <c r="Q88" i="3"/>
  <c r="O88" i="3"/>
  <c r="M88" i="3"/>
  <c r="AC87" i="3"/>
  <c r="Q87" i="3"/>
  <c r="O87" i="3"/>
  <c r="M87" i="3"/>
  <c r="AC86" i="3"/>
  <c r="Q86" i="3"/>
  <c r="O86" i="3"/>
  <c r="M86" i="3"/>
  <c r="AC85" i="3"/>
  <c r="Q85" i="3"/>
  <c r="O85" i="3"/>
  <c r="M85" i="3"/>
  <c r="AC84" i="3"/>
  <c r="Q84" i="3"/>
  <c r="O84" i="3"/>
  <c r="M84" i="3"/>
  <c r="AC83" i="3"/>
  <c r="Q83" i="3"/>
  <c r="O83" i="3"/>
  <c r="M83" i="3"/>
  <c r="AC82" i="3"/>
  <c r="Q82" i="3"/>
  <c r="O82" i="3"/>
  <c r="M82" i="3"/>
  <c r="AC81" i="3"/>
  <c r="Q81" i="3"/>
  <c r="O81" i="3"/>
  <c r="M81" i="3"/>
  <c r="AC80" i="3"/>
  <c r="Q80" i="3"/>
  <c r="O80" i="3"/>
  <c r="M80" i="3"/>
  <c r="AC79" i="3"/>
  <c r="Q79" i="3"/>
  <c r="O79" i="3"/>
  <c r="M79" i="3"/>
  <c r="AC78" i="3"/>
  <c r="Q78" i="3"/>
  <c r="O78" i="3"/>
  <c r="M78" i="3"/>
  <c r="AC77" i="3"/>
  <c r="Q77" i="3"/>
  <c r="O77" i="3"/>
  <c r="M77" i="3"/>
  <c r="AC76" i="3"/>
  <c r="Q76" i="3"/>
  <c r="O76" i="3"/>
  <c r="M76" i="3"/>
  <c r="AC75" i="3"/>
  <c r="Q75" i="3"/>
  <c r="O75" i="3"/>
  <c r="M75" i="3"/>
  <c r="AC74" i="3"/>
  <c r="Q74" i="3"/>
  <c r="O74" i="3"/>
  <c r="M74" i="3"/>
  <c r="AC73" i="3"/>
  <c r="Q73" i="3"/>
  <c r="O73" i="3"/>
  <c r="M73" i="3"/>
  <c r="AC72" i="3"/>
  <c r="Q72" i="3"/>
  <c r="O72" i="3"/>
  <c r="M72" i="3"/>
  <c r="AC71" i="3"/>
  <c r="Q71" i="3"/>
  <c r="O71" i="3"/>
  <c r="M71" i="3"/>
  <c r="AC70" i="3"/>
  <c r="Q70" i="3"/>
  <c r="O70" i="3"/>
  <c r="M70" i="3"/>
  <c r="AC69" i="3"/>
  <c r="Q69" i="3"/>
  <c r="O69" i="3"/>
  <c r="M69" i="3"/>
  <c r="AC68" i="3"/>
  <c r="Q68" i="3"/>
  <c r="O68" i="3"/>
  <c r="M68" i="3"/>
  <c r="AC67" i="3"/>
  <c r="Q67" i="3"/>
  <c r="O67" i="3"/>
  <c r="M67" i="3"/>
  <c r="AC66" i="3"/>
  <c r="Q66" i="3"/>
  <c r="O66" i="3"/>
  <c r="M66" i="3"/>
  <c r="AC65" i="3"/>
  <c r="Q65" i="3"/>
  <c r="O65" i="3"/>
  <c r="M65" i="3"/>
  <c r="AC64" i="3"/>
  <c r="Q64" i="3"/>
  <c r="O64" i="3"/>
  <c r="M64" i="3"/>
  <c r="AC63" i="3"/>
  <c r="Q63" i="3"/>
  <c r="O63" i="3"/>
  <c r="M63" i="3"/>
  <c r="AC62" i="3"/>
  <c r="Q62" i="3"/>
  <c r="O62" i="3"/>
  <c r="M62" i="3"/>
  <c r="AC61" i="3"/>
  <c r="Q61" i="3"/>
  <c r="O61" i="3"/>
  <c r="M61" i="3"/>
  <c r="AC60" i="3"/>
  <c r="Q60" i="3"/>
  <c r="O60" i="3"/>
  <c r="M60" i="3"/>
  <c r="AC59" i="3"/>
  <c r="Q59" i="3"/>
  <c r="O59" i="3"/>
  <c r="M59" i="3"/>
  <c r="AC58" i="3"/>
  <c r="Q58" i="3"/>
  <c r="O58" i="3"/>
  <c r="M58" i="3"/>
  <c r="AC57" i="3"/>
  <c r="Q57" i="3"/>
  <c r="O57" i="3"/>
  <c r="M57" i="3"/>
  <c r="AC56" i="3"/>
  <c r="Q56" i="3"/>
  <c r="O56" i="3"/>
  <c r="M56" i="3"/>
  <c r="AC55" i="3"/>
  <c r="Q55" i="3"/>
  <c r="O55" i="3"/>
  <c r="M55" i="3"/>
  <c r="AC54" i="3"/>
  <c r="Q54" i="3"/>
  <c r="O54" i="3"/>
  <c r="M54" i="3"/>
  <c r="AC53" i="3"/>
  <c r="Q53" i="3"/>
  <c r="O53" i="3"/>
  <c r="M53" i="3"/>
  <c r="AC52" i="3"/>
  <c r="Q52" i="3"/>
  <c r="O52" i="3"/>
  <c r="M52" i="3"/>
  <c r="AC51" i="3"/>
  <c r="Q51" i="3"/>
  <c r="O51" i="3"/>
  <c r="M51" i="3"/>
  <c r="AC50" i="3"/>
  <c r="Q50" i="3"/>
  <c r="O50" i="3"/>
  <c r="M50" i="3"/>
  <c r="AC49" i="3"/>
  <c r="Q49" i="3"/>
  <c r="O49" i="3"/>
  <c r="M49" i="3"/>
  <c r="AC48" i="3"/>
  <c r="Q48" i="3"/>
  <c r="O48" i="3"/>
  <c r="M48" i="3"/>
  <c r="AC47" i="3"/>
  <c r="Q47" i="3"/>
  <c r="O47" i="3"/>
  <c r="M47" i="3"/>
  <c r="AC46" i="3"/>
  <c r="Q46" i="3"/>
  <c r="O46" i="3"/>
  <c r="M46" i="3"/>
  <c r="AC45" i="3"/>
  <c r="Q45" i="3"/>
  <c r="O45" i="3"/>
  <c r="M45" i="3"/>
  <c r="AC44" i="3"/>
  <c r="Q44" i="3"/>
  <c r="O44" i="3"/>
  <c r="M44" i="3"/>
  <c r="AC43" i="3"/>
  <c r="Q43" i="3"/>
  <c r="O43" i="3"/>
  <c r="M43" i="3"/>
  <c r="AC42" i="3"/>
  <c r="Q42" i="3"/>
  <c r="O42" i="3"/>
  <c r="M42" i="3"/>
  <c r="AC41" i="3"/>
  <c r="Q41" i="3"/>
  <c r="O41" i="3"/>
  <c r="M41" i="3"/>
  <c r="AC40" i="3"/>
  <c r="Q40" i="3"/>
  <c r="O40" i="3"/>
  <c r="M40" i="3"/>
  <c r="AC39" i="3"/>
  <c r="Q39" i="3"/>
  <c r="O39" i="3"/>
  <c r="M39" i="3"/>
  <c r="AC38" i="3"/>
  <c r="Q38" i="3"/>
  <c r="O38" i="3"/>
  <c r="M38" i="3"/>
  <c r="AC37" i="3"/>
  <c r="Q37" i="3"/>
  <c r="O37" i="3"/>
  <c r="M37" i="3"/>
  <c r="AC36" i="3"/>
  <c r="Q36" i="3"/>
  <c r="O36" i="3"/>
  <c r="M36" i="3"/>
  <c r="AC35" i="3"/>
  <c r="Q35" i="3"/>
  <c r="O35" i="3"/>
  <c r="M35" i="3"/>
  <c r="AC34" i="3"/>
  <c r="Q34" i="3"/>
  <c r="O34" i="3"/>
  <c r="M34" i="3"/>
  <c r="AC33" i="3"/>
  <c r="Q33" i="3"/>
  <c r="O33" i="3"/>
  <c r="M33" i="3"/>
  <c r="AC32" i="3"/>
  <c r="Q32" i="3"/>
  <c r="O32" i="3"/>
  <c r="M32" i="3"/>
  <c r="AC31" i="3"/>
  <c r="Q31" i="3"/>
  <c r="O31" i="3"/>
  <c r="M31" i="3"/>
  <c r="AC30" i="3"/>
  <c r="Q30" i="3"/>
  <c r="O30" i="3"/>
  <c r="M30" i="3"/>
  <c r="AC29" i="3"/>
  <c r="Q29" i="3"/>
  <c r="O29" i="3"/>
  <c r="M29" i="3"/>
  <c r="AC28" i="3"/>
  <c r="Q28" i="3"/>
  <c r="O28" i="3"/>
  <c r="M28" i="3"/>
  <c r="AC27" i="3"/>
  <c r="Q27" i="3"/>
  <c r="O27" i="3"/>
  <c r="M27" i="3"/>
  <c r="AC26" i="3"/>
  <c r="Q26" i="3"/>
  <c r="O26" i="3"/>
  <c r="M26" i="3"/>
  <c r="AC25" i="3"/>
  <c r="Q25" i="3"/>
  <c r="O25" i="3"/>
  <c r="M25" i="3"/>
  <c r="AC24" i="3"/>
  <c r="Q24" i="3"/>
  <c r="O24" i="3"/>
  <c r="M24" i="3"/>
  <c r="AC23" i="3"/>
  <c r="Q23" i="3"/>
  <c r="O23" i="3"/>
  <c r="M23" i="3"/>
  <c r="AC22" i="3"/>
  <c r="Q22" i="3"/>
  <c r="O22" i="3"/>
  <c r="M22" i="3"/>
  <c r="AC21" i="3"/>
  <c r="Q21" i="3"/>
  <c r="O21" i="3"/>
  <c r="M21" i="3"/>
  <c r="AC20" i="3"/>
  <c r="Q20" i="3"/>
  <c r="O20" i="3"/>
  <c r="M20" i="3"/>
  <c r="AC19" i="3"/>
  <c r="Q19" i="3"/>
  <c r="O19" i="3"/>
  <c r="M19" i="3"/>
  <c r="AC18" i="3"/>
  <c r="Q18" i="3"/>
  <c r="O18" i="3"/>
  <c r="M18" i="3"/>
  <c r="AC17" i="3"/>
  <c r="Q17" i="3"/>
  <c r="O17" i="3"/>
  <c r="M17" i="3"/>
  <c r="AC16" i="3"/>
  <c r="Q16" i="3"/>
  <c r="O16" i="3"/>
  <c r="M16" i="3"/>
  <c r="AC15" i="3"/>
  <c r="Q15" i="3"/>
  <c r="O15" i="3"/>
  <c r="M15" i="3"/>
  <c r="AC14" i="3"/>
  <c r="Q14" i="3"/>
  <c r="O14" i="3"/>
  <c r="M14" i="3"/>
  <c r="AC13" i="3"/>
  <c r="Q13" i="3"/>
  <c r="O13" i="3"/>
  <c r="M13" i="3"/>
  <c r="AC12" i="3"/>
  <c r="Q12" i="3"/>
  <c r="O12" i="3"/>
  <c r="M12" i="3"/>
  <c r="AC11" i="3"/>
  <c r="Q11" i="3"/>
  <c r="O11" i="3"/>
  <c r="M11" i="3"/>
  <c r="AC10" i="3"/>
  <c r="Q10" i="3"/>
  <c r="O10" i="3"/>
  <c r="M10" i="3"/>
  <c r="AC9" i="3"/>
  <c r="Q9" i="3"/>
  <c r="O9" i="3"/>
  <c r="M9" i="3"/>
  <c r="AC8" i="3"/>
  <c r="Q8" i="3"/>
  <c r="O8" i="3"/>
  <c r="M8" i="3"/>
  <c r="AC7" i="3"/>
  <c r="Q7" i="3"/>
  <c r="O7" i="3"/>
  <c r="M7" i="3"/>
  <c r="AC6" i="3"/>
  <c r="Q6" i="3"/>
  <c r="O6" i="3"/>
  <c r="M6" i="3"/>
  <c r="AC5" i="3"/>
  <c r="Q5" i="3"/>
  <c r="O5" i="3"/>
  <c r="M5" i="3"/>
  <c r="AC4" i="3"/>
  <c r="Q4" i="3"/>
  <c r="O4" i="3"/>
  <c r="M4" i="3"/>
  <c r="AC3" i="3"/>
  <c r="Q3" i="3"/>
  <c r="O3" i="3"/>
  <c r="M3" i="3"/>
  <c r="AC2" i="3"/>
  <c r="Q2" i="3"/>
  <c r="O2" i="3"/>
  <c r="M2" i="3"/>
  <c r="M1" i="3"/>
  <c r="J4" i="9"/>
  <c r="K4" i="9"/>
  <c r="L4" i="9"/>
  <c r="M4" i="9"/>
  <c r="N4" i="9"/>
  <c r="O4" i="9"/>
  <c r="P4" i="9"/>
  <c r="Q4" i="9"/>
  <c r="R4" i="9"/>
  <c r="I4" i="9"/>
  <c r="J3" i="9"/>
  <c r="K3" i="9"/>
  <c r="L3" i="9"/>
  <c r="M3" i="9"/>
  <c r="N3" i="9"/>
  <c r="O3" i="9"/>
  <c r="P3" i="9"/>
  <c r="P5" i="9" s="1"/>
  <c r="Q3" i="9"/>
  <c r="Q5" i="9" s="1"/>
  <c r="R3" i="9"/>
  <c r="I3" i="9"/>
  <c r="L5" i="9" l="1"/>
  <c r="R5" i="9"/>
  <c r="R6" i="9" s="1"/>
  <c r="K5" i="9"/>
  <c r="K6" i="9" s="1"/>
  <c r="J5" i="9"/>
  <c r="J7" i="9" s="1"/>
  <c r="O5" i="9"/>
  <c r="N5" i="9"/>
  <c r="I5" i="9"/>
  <c r="M5" i="9"/>
  <c r="M6" i="9" s="1"/>
  <c r="O7" i="9"/>
  <c r="O6" i="9"/>
  <c r="N7" i="9"/>
  <c r="N6" i="9"/>
  <c r="P6" i="9"/>
  <c r="P7" i="9"/>
  <c r="I6" i="9"/>
  <c r="I7" i="9"/>
  <c r="L6" i="9"/>
  <c r="L7" i="9"/>
  <c r="Q7" i="9"/>
  <c r="Q6" i="9"/>
  <c r="M7" i="9" l="1"/>
  <c r="R7" i="9"/>
  <c r="J6" i="9"/>
  <c r="K7" i="9"/>
  <c r="N3" i="28"/>
  <c r="N4" i="28"/>
  <c r="N5" i="28"/>
  <c r="N6" i="28"/>
  <c r="N7" i="28"/>
  <c r="N8" i="28"/>
  <c r="N9" i="28"/>
  <c r="N10" i="28"/>
  <c r="N11" i="28"/>
  <c r="N12" i="28"/>
  <c r="N13" i="28"/>
  <c r="N14" i="28"/>
  <c r="N15" i="28"/>
  <c r="N16" i="28"/>
  <c r="N17" i="28"/>
  <c r="N18" i="28"/>
  <c r="N19" i="28"/>
  <c r="N20" i="28"/>
  <c r="N21" i="28"/>
  <c r="N22" i="28"/>
  <c r="N2" i="28"/>
  <c r="L3" i="28"/>
  <c r="L4" i="28"/>
  <c r="L5" i="28"/>
  <c r="L6" i="28"/>
  <c r="L7" i="28"/>
  <c r="L8" i="28"/>
  <c r="L9" i="28"/>
  <c r="L10" i="28"/>
  <c r="L11" i="28"/>
  <c r="L12" i="28"/>
  <c r="L13" i="28"/>
  <c r="L14" i="28"/>
  <c r="L15" i="28"/>
  <c r="L16" i="28"/>
  <c r="L17" i="28"/>
  <c r="L18" i="28"/>
  <c r="L19" i="28"/>
  <c r="L20" i="28"/>
  <c r="L21" i="28"/>
  <c r="L22" i="28"/>
  <c r="L2" i="28"/>
  <c r="P3" i="28"/>
  <c r="P4" i="28"/>
  <c r="P5" i="28"/>
  <c r="P6" i="28"/>
  <c r="P7" i="28"/>
  <c r="P8" i="28"/>
  <c r="P9" i="28"/>
  <c r="P10" i="28"/>
  <c r="P11" i="28"/>
  <c r="P12" i="28"/>
  <c r="P13" i="28"/>
  <c r="P14" i="28"/>
  <c r="P15" i="28"/>
  <c r="P16" i="28"/>
  <c r="P17" i="28"/>
  <c r="P18" i="28"/>
  <c r="P19" i="28"/>
  <c r="P20" i="28"/>
  <c r="P21" i="28"/>
  <c r="P22" i="28"/>
  <c r="P2" i="28"/>
  <c r="O24" i="20"/>
  <c r="J24" i="20"/>
  <c r="C24" i="20"/>
  <c r="E29" i="21" l="1"/>
  <c r="B27" i="17" l="1"/>
  <c r="B17" i="21" l="1"/>
  <c r="P22" i="23"/>
  <c r="P21" i="23"/>
  <c r="P14" i="23"/>
  <c r="P20" i="23"/>
  <c r="P19" i="23"/>
  <c r="P18" i="23"/>
  <c r="P17" i="23"/>
  <c r="P16" i="23"/>
  <c r="P15" i="23"/>
  <c r="P13" i="23"/>
  <c r="P12" i="23"/>
  <c r="P11" i="23"/>
  <c r="P10" i="23"/>
  <c r="P9" i="23"/>
  <c r="P8" i="23"/>
  <c r="P7" i="23"/>
  <c r="P6" i="23"/>
  <c r="P5" i="23"/>
  <c r="P4" i="23"/>
  <c r="P3" i="23"/>
  <c r="P2" i="23"/>
  <c r="E17" i="21" l="1"/>
  <c r="D17" i="21"/>
  <c r="F28" i="21" s="1"/>
  <c r="G51" i="20"/>
  <c r="G61" i="20"/>
  <c r="C17" i="21"/>
  <c r="C47" i="20"/>
  <c r="Q6" i="23"/>
  <c r="Q19" i="23"/>
  <c r="Q3" i="23"/>
  <c r="Q20" i="23"/>
  <c r="Q14" i="23"/>
  <c r="Q21" i="23"/>
  <c r="Q7" i="23"/>
  <c r="Q8" i="23"/>
  <c r="Q18" i="23"/>
  <c r="Q9" i="23"/>
  <c r="Q10" i="23"/>
  <c r="Q11" i="23"/>
  <c r="Q12" i="23"/>
  <c r="Q13" i="23"/>
  <c r="Q15" i="23"/>
  <c r="Q4" i="23"/>
  <c r="Q5" i="23"/>
  <c r="Q16" i="23"/>
  <c r="Q17" i="23"/>
  <c r="Q2" i="23"/>
  <c r="Q22" i="23"/>
  <c r="O2" i="22" l="1" a="1"/>
  <c r="O2" i="22" s="1"/>
  <c r="G54" i="20"/>
  <c r="F54" i="20"/>
  <c r="S2" i="23" a="1"/>
  <c r="S2" i="23" s="1"/>
  <c r="R2" i="24" a="1"/>
  <c r="R2" i="24" s="1"/>
  <c r="R16" i="24" a="1"/>
  <c r="R16" i="24" s="1"/>
  <c r="R32" i="24" a="1"/>
  <c r="R32" i="24" s="1"/>
  <c r="R48" i="24" a="1"/>
  <c r="R48" i="24" s="1"/>
  <c r="R63" i="24" a="1"/>
  <c r="R63" i="24" s="1"/>
  <c r="R79" i="24" a="1"/>
  <c r="R79" i="24" s="1"/>
  <c r="R95" i="24" a="1"/>
  <c r="R95" i="24" s="1"/>
  <c r="R111" i="24" a="1"/>
  <c r="R111" i="24" s="1"/>
  <c r="R127" i="24" a="1"/>
  <c r="R127" i="24" s="1"/>
  <c r="R73" i="24" a="1"/>
  <c r="R73" i="24" s="1"/>
  <c r="R43" i="24" a="1"/>
  <c r="R43" i="24" s="1"/>
  <c r="R44" i="24" a="1"/>
  <c r="R44" i="24" s="1"/>
  <c r="R45" i="24" a="1"/>
  <c r="R45" i="24" s="1"/>
  <c r="R109" i="24" a="1"/>
  <c r="R109" i="24" s="1"/>
  <c r="R94" i="24" a="1"/>
  <c r="R94" i="24" s="1"/>
  <c r="R3" i="24" a="1"/>
  <c r="R3" i="24" s="1"/>
  <c r="R17" i="24" a="1"/>
  <c r="R17" i="24" s="1"/>
  <c r="R33" i="24" a="1"/>
  <c r="R33" i="24" s="1"/>
  <c r="R49" i="24" a="1"/>
  <c r="R49" i="24" s="1"/>
  <c r="R64" i="24" a="1"/>
  <c r="R64" i="24" s="1"/>
  <c r="R80" i="24" a="1"/>
  <c r="R80" i="24" s="1"/>
  <c r="R96" i="24" a="1"/>
  <c r="R96" i="24" s="1"/>
  <c r="R112" i="24" a="1"/>
  <c r="R112" i="24" s="1"/>
  <c r="R36" i="24" a="1"/>
  <c r="R36" i="24" s="1"/>
  <c r="R83" i="24" a="1"/>
  <c r="R83" i="24" s="1"/>
  <c r="R99" i="24" a="1"/>
  <c r="R99" i="24" s="1"/>
  <c r="R53" i="24" a="1"/>
  <c r="R53" i="24" s="1"/>
  <c r="R100" i="24" a="1"/>
  <c r="R100" i="24" s="1"/>
  <c r="R38" i="24" a="1"/>
  <c r="R38" i="24" s="1"/>
  <c r="R85" i="24" a="1"/>
  <c r="R85" i="24" s="1"/>
  <c r="R9" i="24" a="1"/>
  <c r="R9" i="24" s="1"/>
  <c r="R70" i="24" a="1"/>
  <c r="R70" i="24" s="1"/>
  <c r="R10" i="24" a="1"/>
  <c r="R10" i="24" s="1"/>
  <c r="R87" i="24" a="1"/>
  <c r="R87" i="24" s="1"/>
  <c r="R25" i="24" a="1"/>
  <c r="R25" i="24" s="1"/>
  <c r="R72" i="24" a="1"/>
  <c r="R72" i="24" s="1"/>
  <c r="R26" i="24" a="1"/>
  <c r="R26" i="24" s="1"/>
  <c r="R89" i="24" a="1"/>
  <c r="R89" i="24" s="1"/>
  <c r="R13" i="24" a="1"/>
  <c r="R13" i="24" s="1"/>
  <c r="R91" i="24" a="1"/>
  <c r="R91" i="24" s="1"/>
  <c r="R29" i="24" a="1"/>
  <c r="R29" i="24" s="1"/>
  <c r="R92" i="24" a="1"/>
  <c r="R92" i="24" s="1"/>
  <c r="R62" i="24" a="1"/>
  <c r="R62" i="24" s="1"/>
  <c r="R31" i="24" a="1"/>
  <c r="R31" i="24" s="1"/>
  <c r="R110" i="24" a="1"/>
  <c r="R110" i="24" s="1"/>
  <c r="R4" i="24" a="1"/>
  <c r="R4" i="24" s="1"/>
  <c r="R18" i="24" a="1"/>
  <c r="R18" i="24" s="1"/>
  <c r="R34" i="24" a="1"/>
  <c r="R34" i="24" s="1"/>
  <c r="R50" i="24" a="1"/>
  <c r="R50" i="24" s="1"/>
  <c r="R65" i="24" a="1"/>
  <c r="R65" i="24" s="1"/>
  <c r="R81" i="24" a="1"/>
  <c r="R81" i="24" s="1"/>
  <c r="R97" i="24" a="1"/>
  <c r="R97" i="24" s="1"/>
  <c r="R113" i="24" a="1"/>
  <c r="R113" i="24" s="1"/>
  <c r="R20" i="24" a="1"/>
  <c r="R20" i="24" s="1"/>
  <c r="R52" i="24" a="1"/>
  <c r="R52" i="24" s="1"/>
  <c r="R115" i="24" a="1"/>
  <c r="R115" i="24" s="1"/>
  <c r="R68" i="24" a="1"/>
  <c r="R68" i="24" s="1"/>
  <c r="R8" i="24" a="1"/>
  <c r="R8" i="24" s="1"/>
  <c r="R54" i="24" a="1"/>
  <c r="R54" i="24" s="1"/>
  <c r="R101" i="24" a="1"/>
  <c r="R101" i="24" s="1"/>
  <c r="R39" i="24" a="1"/>
  <c r="R39" i="24" s="1"/>
  <c r="R86" i="24" a="1"/>
  <c r="R86" i="24" s="1"/>
  <c r="R24" i="24" a="1"/>
  <c r="R24" i="24" s="1"/>
  <c r="R103" i="24" a="1"/>
  <c r="R103" i="24" s="1"/>
  <c r="R41" i="24" a="1"/>
  <c r="R41" i="24" s="1"/>
  <c r="R88" i="24" a="1"/>
  <c r="R88" i="24" s="1"/>
  <c r="R58" i="24" a="1"/>
  <c r="R58" i="24" s="1"/>
  <c r="R121" i="24" a="1"/>
  <c r="R121" i="24" s="1"/>
  <c r="R27" i="24" a="1"/>
  <c r="R27" i="24" s="1"/>
  <c r="R90" i="24" a="1"/>
  <c r="R90" i="24" s="1"/>
  <c r="R60" i="24" a="1"/>
  <c r="R60" i="24" s="1"/>
  <c r="R14" i="24" a="1"/>
  <c r="R14" i="24" s="1"/>
  <c r="R30" i="24" a="1"/>
  <c r="R30" i="24" s="1"/>
  <c r="R125" i="24" a="1"/>
  <c r="R125" i="24" s="1"/>
  <c r="R78" i="24" a="1"/>
  <c r="R78" i="24" s="1"/>
  <c r="R5" i="24" a="1"/>
  <c r="R5" i="24" s="1"/>
  <c r="R19" i="24" a="1"/>
  <c r="R19" i="24" s="1"/>
  <c r="R35" i="24" a="1"/>
  <c r="R35" i="24" s="1"/>
  <c r="R51" i="24" a="1"/>
  <c r="R51" i="24" s="1"/>
  <c r="R66" i="24" a="1"/>
  <c r="R66" i="24" s="1"/>
  <c r="R82" i="24" a="1"/>
  <c r="R82" i="24" s="1"/>
  <c r="R98" i="24" a="1"/>
  <c r="R98" i="24" s="1"/>
  <c r="R114" i="24" a="1"/>
  <c r="R114" i="24" s="1"/>
  <c r="R6" i="24" a="1"/>
  <c r="R6" i="24" s="1"/>
  <c r="R67" i="24" a="1"/>
  <c r="R67" i="24" s="1"/>
  <c r="R37" i="24" a="1"/>
  <c r="R37" i="24" s="1"/>
  <c r="R84" i="24" a="1"/>
  <c r="R84" i="24" s="1"/>
  <c r="R116" i="24" a="1"/>
  <c r="R116" i="24" s="1"/>
  <c r="R22" i="24" a="1"/>
  <c r="R22" i="24" s="1"/>
  <c r="R69" i="24" a="1"/>
  <c r="R69" i="24" s="1"/>
  <c r="R117" i="24" a="1"/>
  <c r="R117" i="24" s="1"/>
  <c r="R55" i="24" a="1"/>
  <c r="R55" i="24" s="1"/>
  <c r="R102" i="24" a="1"/>
  <c r="R102" i="24" s="1"/>
  <c r="R40" i="24" a="1"/>
  <c r="R40" i="24" s="1"/>
  <c r="R71" i="24" a="1"/>
  <c r="R71" i="24" s="1"/>
  <c r="R11" i="24" a="1"/>
  <c r="R11" i="24" s="1"/>
  <c r="R104" i="24" a="1"/>
  <c r="R104" i="24" s="1"/>
  <c r="R42" i="24" a="1"/>
  <c r="R42" i="24" s="1"/>
  <c r="R105" i="24" a="1"/>
  <c r="R105" i="24" s="1"/>
  <c r="R59" i="24" a="1"/>
  <c r="R59" i="24" s="1"/>
  <c r="R122" i="24" a="1"/>
  <c r="R122" i="24" s="1"/>
  <c r="R75" i="24" a="1"/>
  <c r="R75" i="24" s="1"/>
  <c r="R123" i="24" a="1"/>
  <c r="R123" i="24" s="1"/>
  <c r="R61" i="24" a="1"/>
  <c r="R61" i="24" s="1"/>
  <c r="R108" i="24" a="1"/>
  <c r="R108" i="24" s="1"/>
  <c r="R46" i="24" a="1"/>
  <c r="R46" i="24" s="1"/>
  <c r="R15" i="24" a="1"/>
  <c r="R15" i="24" s="1"/>
  <c r="R93" i="24" a="1"/>
  <c r="R93" i="24" s="1"/>
  <c r="R7" i="24" a="1"/>
  <c r="R7" i="24" s="1"/>
  <c r="R21" i="24" a="1"/>
  <c r="R21" i="24" s="1"/>
  <c r="R23" i="24" a="1"/>
  <c r="R23" i="24" s="1"/>
  <c r="R118" i="24" a="1"/>
  <c r="R118" i="24" s="1"/>
  <c r="R56" i="24" a="1"/>
  <c r="R56" i="24" s="1"/>
  <c r="R119" i="24" a="1"/>
  <c r="R119" i="24" s="1"/>
  <c r="R57" i="24" a="1"/>
  <c r="R57" i="24" s="1"/>
  <c r="R120" i="24" a="1"/>
  <c r="R120" i="24" s="1"/>
  <c r="R12" i="24" a="1"/>
  <c r="R12" i="24" s="1"/>
  <c r="R74" i="24" a="1"/>
  <c r="R74" i="24" s="1"/>
  <c r="R106" i="24" a="1"/>
  <c r="R106" i="24" s="1"/>
  <c r="R28" i="24" a="1"/>
  <c r="R28" i="24" s="1"/>
  <c r="R107" i="24" a="1"/>
  <c r="R107" i="24" s="1"/>
  <c r="R76" i="24" a="1"/>
  <c r="R76" i="24" s="1"/>
  <c r="R124" i="24" a="1"/>
  <c r="R124" i="24" s="1"/>
  <c r="R77" i="24" a="1"/>
  <c r="R77" i="24" s="1"/>
  <c r="R47" i="24" a="1"/>
  <c r="R47" i="24" s="1"/>
  <c r="R126" i="24" a="1"/>
  <c r="R126" i="24" s="1"/>
  <c r="F29" i="21"/>
  <c r="T3" i="24"/>
  <c r="T19" i="24"/>
  <c r="T35" i="24"/>
  <c r="T51" i="24"/>
  <c r="T67" i="24"/>
  <c r="T83" i="24"/>
  <c r="T99" i="24"/>
  <c r="T115" i="24"/>
  <c r="T17" i="24"/>
  <c r="T113" i="24"/>
  <c r="T82" i="24"/>
  <c r="T4" i="24"/>
  <c r="T20" i="24"/>
  <c r="T36" i="24"/>
  <c r="T52" i="24"/>
  <c r="T68" i="24"/>
  <c r="T84" i="24"/>
  <c r="T100" i="24"/>
  <c r="T116" i="24"/>
  <c r="T77" i="24"/>
  <c r="T109" i="24"/>
  <c r="T30" i="24"/>
  <c r="T110" i="24"/>
  <c r="T47" i="24"/>
  <c r="T111" i="24"/>
  <c r="T16" i="24"/>
  <c r="T96" i="24"/>
  <c r="T49" i="24"/>
  <c r="T97" i="24"/>
  <c r="T66" i="24"/>
  <c r="T5" i="24"/>
  <c r="T21" i="24"/>
  <c r="T37" i="24"/>
  <c r="T53" i="24"/>
  <c r="T69" i="24"/>
  <c r="T85" i="24"/>
  <c r="T101" i="24"/>
  <c r="T118" i="24"/>
  <c r="T6" i="24"/>
  <c r="T22" i="24"/>
  <c r="T38" i="24"/>
  <c r="T54" i="24"/>
  <c r="T70" i="24"/>
  <c r="T86" i="24"/>
  <c r="T102" i="24"/>
  <c r="T119" i="24"/>
  <c r="T7" i="24"/>
  <c r="T23" i="24"/>
  <c r="T39" i="24"/>
  <c r="T55" i="24"/>
  <c r="T71" i="24"/>
  <c r="T87" i="24"/>
  <c r="T103" i="24"/>
  <c r="T120" i="24"/>
  <c r="T25" i="24"/>
  <c r="T41" i="24"/>
  <c r="T57" i="24"/>
  <c r="T105" i="24"/>
  <c r="T10" i="24"/>
  <c r="T42" i="24"/>
  <c r="T74" i="24"/>
  <c r="T106" i="24"/>
  <c r="T11" i="24"/>
  <c r="T43" i="24"/>
  <c r="T59" i="24"/>
  <c r="T91" i="24"/>
  <c r="T123" i="24"/>
  <c r="T12" i="24"/>
  <c r="T60" i="24"/>
  <c r="T92" i="24"/>
  <c r="T108" i="24"/>
  <c r="T13" i="24"/>
  <c r="T61" i="24"/>
  <c r="T93" i="24"/>
  <c r="T14" i="24"/>
  <c r="T46" i="24"/>
  <c r="T78" i="24"/>
  <c r="T31" i="24"/>
  <c r="T79" i="24"/>
  <c r="T127" i="24"/>
  <c r="T64" i="24"/>
  <c r="T2" i="24"/>
  <c r="T65" i="24"/>
  <c r="T50" i="24"/>
  <c r="T114" i="24"/>
  <c r="T8" i="24"/>
  <c r="T24" i="24"/>
  <c r="T40" i="24"/>
  <c r="T56" i="24"/>
  <c r="T72" i="24"/>
  <c r="T88" i="24"/>
  <c r="T104" i="24"/>
  <c r="T121" i="24"/>
  <c r="T9" i="24"/>
  <c r="T73" i="24"/>
  <c r="T117" i="24"/>
  <c r="T26" i="24"/>
  <c r="T58" i="24"/>
  <c r="T90" i="24"/>
  <c r="T122" i="24"/>
  <c r="T27" i="24"/>
  <c r="T75" i="24"/>
  <c r="T107" i="24"/>
  <c r="T28" i="24"/>
  <c r="T44" i="24"/>
  <c r="T76" i="24"/>
  <c r="T124" i="24"/>
  <c r="T29" i="24"/>
  <c r="T45" i="24"/>
  <c r="T125" i="24"/>
  <c r="T62" i="24"/>
  <c r="T94" i="24"/>
  <c r="T15" i="24"/>
  <c r="T95" i="24"/>
  <c r="T48" i="24"/>
  <c r="T80" i="24"/>
  <c r="T33" i="24"/>
  <c r="T34" i="24"/>
  <c r="T89" i="24"/>
  <c r="T126" i="24"/>
  <c r="T63" i="24"/>
  <c r="T32" i="24"/>
  <c r="T112" i="24"/>
  <c r="T81" i="24"/>
  <c r="T18" i="24"/>
  <c r="T98" i="24"/>
  <c r="S10" i="23" a="1"/>
  <c r="S10" i="23" s="1"/>
  <c r="S20" i="23" a="1"/>
  <c r="S20" i="23" s="1"/>
  <c r="S21" i="23" a="1"/>
  <c r="S21" i="23" s="1"/>
  <c r="S11" i="23" a="1"/>
  <c r="S11" i="23" s="1"/>
  <c r="S12" i="23" a="1"/>
  <c r="S12" i="23" s="1"/>
  <c r="S22" i="23" a="1"/>
  <c r="S22" i="23" s="1"/>
  <c r="S13" i="23" a="1"/>
  <c r="S13" i="23" s="1"/>
  <c r="S3" i="23" a="1"/>
  <c r="S3" i="23" s="1"/>
  <c r="S4" i="23" a="1"/>
  <c r="S4" i="23" s="1"/>
  <c r="S5" i="23" a="1"/>
  <c r="S5" i="23" s="1"/>
  <c r="S14" i="23" a="1"/>
  <c r="S14" i="23" s="1"/>
  <c r="S6" i="23" a="1"/>
  <c r="S6" i="23" s="1"/>
  <c r="S15" i="23" a="1"/>
  <c r="S15" i="23" s="1"/>
  <c r="S7" i="23" a="1"/>
  <c r="S7" i="23" s="1"/>
  <c r="S16" i="23" a="1"/>
  <c r="S16" i="23" s="1"/>
  <c r="S8" i="23" a="1"/>
  <c r="S8" i="23" s="1"/>
  <c r="S17" i="23" a="1"/>
  <c r="S17" i="23" s="1"/>
  <c r="S9" i="23" a="1"/>
  <c r="S9" i="23" s="1"/>
  <c r="S18" i="23" a="1"/>
  <c r="S18" i="23" s="1"/>
  <c r="S19" i="23" a="1"/>
  <c r="S19" i="23" s="1"/>
  <c r="T7" i="23" l="1"/>
  <c r="S124" i="24"/>
  <c r="S15" i="24"/>
  <c r="S117" i="24"/>
  <c r="S62" i="24"/>
  <c r="S125" i="24"/>
  <c r="S108" i="24"/>
  <c r="T14" i="23"/>
  <c r="S36" i="24"/>
  <c r="S13" i="24"/>
  <c r="S96" i="24"/>
  <c r="S121" i="24"/>
  <c r="S43" i="24"/>
  <c r="S92" i="24"/>
  <c r="S22" i="24"/>
  <c r="S127" i="24"/>
  <c r="S115" i="24"/>
  <c r="S123" i="24"/>
  <c r="S95" i="24"/>
  <c r="S90" i="24"/>
  <c r="S12" i="24"/>
  <c r="S26" i="24"/>
  <c r="S120" i="24"/>
  <c r="S72" i="24"/>
  <c r="S58" i="24"/>
  <c r="T12" i="23"/>
  <c r="S42" i="24"/>
  <c r="S33" i="24"/>
  <c r="S41" i="24"/>
  <c r="S10" i="24"/>
  <c r="T18" i="23"/>
  <c r="T21" i="23"/>
  <c r="S118" i="24"/>
  <c r="S11" i="24"/>
  <c r="S66" i="24"/>
  <c r="S103" i="24"/>
  <c r="S34" i="24"/>
  <c r="S70" i="24"/>
  <c r="S3" i="24"/>
  <c r="T2" i="23"/>
  <c r="S78" i="24"/>
  <c r="S46" i="24"/>
  <c r="S99" i="24"/>
  <c r="S29" i="24"/>
  <c r="S116" i="24"/>
  <c r="T5" i="23"/>
  <c r="S52" i="24"/>
  <c r="S74" i="24"/>
  <c r="S20" i="24"/>
  <c r="S67" i="24"/>
  <c r="S63" i="24"/>
  <c r="S97" i="24"/>
  <c r="S105" i="24"/>
  <c r="S25" i="24"/>
  <c r="S88" i="24"/>
  <c r="T19" i="23"/>
  <c r="S56" i="24"/>
  <c r="S2" i="24"/>
  <c r="T20" i="23"/>
  <c r="S23" i="24"/>
  <c r="S71" i="24"/>
  <c r="S51" i="24"/>
  <c r="S24" i="24"/>
  <c r="S18" i="24"/>
  <c r="S9" i="24"/>
  <c r="S94" i="24"/>
  <c r="T15" i="23"/>
  <c r="S69" i="24"/>
  <c r="T6" i="23"/>
  <c r="S30" i="24"/>
  <c r="S28" i="24"/>
  <c r="S111" i="24"/>
  <c r="S60" i="24"/>
  <c r="S75" i="24"/>
  <c r="S79" i="24"/>
  <c r="S80" i="24"/>
  <c r="S6" i="24"/>
  <c r="T22" i="23"/>
  <c r="S114" i="24"/>
  <c r="S49" i="24"/>
  <c r="S65" i="24"/>
  <c r="T11" i="23"/>
  <c r="S82" i="24"/>
  <c r="S17" i="24"/>
  <c r="T17" i="23"/>
  <c r="T10" i="23"/>
  <c r="S126" i="24"/>
  <c r="S21" i="24"/>
  <c r="S40" i="24"/>
  <c r="S35" i="24"/>
  <c r="S86" i="24"/>
  <c r="S4" i="24"/>
  <c r="S85" i="24"/>
  <c r="S109" i="24"/>
  <c r="S54" i="24"/>
  <c r="S76" i="24"/>
  <c r="S73" i="24"/>
  <c r="S68" i="24"/>
  <c r="S61" i="24"/>
  <c r="S91" i="24"/>
  <c r="S84" i="24"/>
  <c r="T4" i="23"/>
  <c r="S89" i="24"/>
  <c r="S27" i="24"/>
  <c r="T13" i="23"/>
  <c r="S64" i="24"/>
  <c r="S57" i="24"/>
  <c r="S32" i="24"/>
  <c r="S98" i="24"/>
  <c r="S16" i="24"/>
  <c r="S50" i="24"/>
  <c r="T9" i="23"/>
  <c r="T8" i="23"/>
  <c r="S47" i="24"/>
  <c r="S7" i="24"/>
  <c r="S102" i="24"/>
  <c r="S19" i="24"/>
  <c r="S39" i="24"/>
  <c r="S110" i="24"/>
  <c r="S38" i="24"/>
  <c r="S45" i="24"/>
  <c r="S53" i="24"/>
  <c r="S8" i="24"/>
  <c r="S107" i="24"/>
  <c r="S83" i="24"/>
  <c r="S14" i="24"/>
  <c r="S106" i="24"/>
  <c r="S112" i="24"/>
  <c r="S37" i="24"/>
  <c r="T3" i="23"/>
  <c r="S122" i="24"/>
  <c r="S113" i="24"/>
  <c r="S59" i="24"/>
  <c r="S48" i="24"/>
  <c r="S81" i="24"/>
  <c r="S119" i="24"/>
  <c r="S87" i="24"/>
  <c r="S104" i="24"/>
  <c r="T16" i="23"/>
  <c r="S77" i="24"/>
  <c r="S93" i="24"/>
  <c r="S55" i="24"/>
  <c r="S5" i="24"/>
  <c r="S101" i="24"/>
  <c r="S31" i="24"/>
  <c r="S100" i="24"/>
  <c r="S44" i="24"/>
  <c r="B12" i="21"/>
  <c r="B7" i="21"/>
  <c r="J47" i="20" l="1"/>
  <c r="O10" i="20"/>
  <c r="F52" i="20"/>
  <c r="G52" i="20"/>
  <c r="D28" i="21" s="1"/>
  <c r="H52" i="20"/>
  <c r="C28" i="21" s="1"/>
  <c r="C29" i="21" s="1"/>
  <c r="E12" i="21"/>
  <c r="D12" i="21"/>
  <c r="C12" i="21"/>
  <c r="L89" i="20"/>
  <c r="L87" i="20"/>
  <c r="L86" i="20"/>
  <c r="L84" i="20"/>
  <c r="L83" i="20"/>
  <c r="L82" i="20"/>
  <c r="L81" i="20"/>
  <c r="E89" i="20"/>
  <c r="E88" i="20"/>
  <c r="E87" i="20"/>
  <c r="L97" i="20"/>
  <c r="E86" i="20"/>
  <c r="L96" i="20"/>
  <c r="E85" i="20"/>
  <c r="L95" i="20"/>
  <c r="L94" i="20"/>
  <c r="E96" i="20"/>
  <c r="L93" i="20"/>
  <c r="E95" i="20"/>
  <c r="E82" i="20"/>
  <c r="L90" i="20"/>
  <c r="E94" i="20"/>
  <c r="E81" i="20"/>
  <c r="E93" i="20"/>
  <c r="L88" i="20"/>
  <c r="E92" i="20"/>
  <c r="L98" i="20"/>
  <c r="E83" i="20"/>
  <c r="E90" i="20"/>
  <c r="L91" i="20"/>
  <c r="D52" i="20"/>
  <c r="E7" i="21"/>
  <c r="F7" i="21"/>
  <c r="C7" i="21"/>
  <c r="K18" i="20"/>
  <c r="K19" i="20" s="1"/>
  <c r="K12" i="20"/>
  <c r="K13" i="20" s="1"/>
  <c r="K15" i="20"/>
  <c r="K16" i="20" s="1"/>
  <c r="C3" i="4"/>
  <c r="C4" i="4"/>
  <c r="C5" i="4"/>
  <c r="C6" i="4"/>
  <c r="C9" i="4"/>
  <c r="C10" i="4"/>
  <c r="C11" i="4"/>
  <c r="C2" i="4"/>
  <c r="F53" i="20" l="1"/>
  <c r="G53" i="20"/>
  <c r="F12" i="21"/>
  <c r="K53" i="20"/>
  <c r="D53" i="20"/>
  <c r="C57" i="20"/>
  <c r="M87" i="20"/>
  <c r="M86" i="20"/>
  <c r="M84" i="20"/>
  <c r="M83" i="20"/>
  <c r="F96" i="20"/>
  <c r="F87" i="20"/>
  <c r="M93" i="20"/>
  <c r="F93" i="20"/>
  <c r="M90" i="20"/>
  <c r="M89" i="20"/>
  <c r="M82" i="20"/>
  <c r="F82" i="20"/>
  <c r="M81" i="20"/>
  <c r="F81" i="20"/>
  <c r="F88" i="20"/>
  <c r="F95" i="20"/>
  <c r="M94" i="20"/>
  <c r="F86" i="20"/>
  <c r="F92" i="20"/>
  <c r="M88" i="20"/>
  <c r="M97" i="20"/>
  <c r="F89" i="20"/>
  <c r="M96" i="20"/>
  <c r="M95" i="20"/>
  <c r="F94" i="20"/>
  <c r="F85" i="20"/>
  <c r="D7" i="21"/>
  <c r="AH2" i="28" s="1" a="1"/>
  <c r="AH2" i="28" s="1"/>
  <c r="J57" i="20"/>
  <c r="K6" i="20"/>
  <c r="AF2" i="28" a="1"/>
  <c r="AF2" i="28" s="1"/>
  <c r="M98" i="20"/>
  <c r="M91" i="20"/>
  <c r="F90" i="20"/>
  <c r="F83" i="20"/>
  <c r="O53" i="20"/>
  <c r="M53" i="20"/>
  <c r="AF4" i="28" a="1"/>
  <c r="AF4" i="28" s="1"/>
  <c r="BA9" i="3"/>
  <c r="BA25" i="3"/>
  <c r="BA41" i="3"/>
  <c r="BA57" i="3"/>
  <c r="BA73" i="3"/>
  <c r="BA89" i="3"/>
  <c r="BA105" i="3"/>
  <c r="BA121" i="3"/>
  <c r="BA106" i="3"/>
  <c r="BA28" i="3"/>
  <c r="BA76" i="3"/>
  <c r="BA108" i="3"/>
  <c r="BA31" i="3"/>
  <c r="BA80" i="3"/>
  <c r="BA17" i="3"/>
  <c r="BA97" i="3"/>
  <c r="BA82" i="3"/>
  <c r="BA19" i="3"/>
  <c r="BA83" i="3"/>
  <c r="BA84" i="3"/>
  <c r="BA5" i="3"/>
  <c r="BA117" i="3"/>
  <c r="BA54" i="3"/>
  <c r="BA118" i="3"/>
  <c r="BA23" i="3"/>
  <c r="AF3" i="28" a="1"/>
  <c r="AF3" i="28" s="1"/>
  <c r="BA72" i="3"/>
  <c r="AF5" i="28" a="1"/>
  <c r="AF5" i="28" s="1"/>
  <c r="AF14" i="28" a="1"/>
  <c r="AF14" i="28" s="1"/>
  <c r="BA10" i="3"/>
  <c r="BA26" i="3"/>
  <c r="BA42" i="3"/>
  <c r="BA58" i="3"/>
  <c r="BA74" i="3"/>
  <c r="BA90" i="3"/>
  <c r="BA122" i="3"/>
  <c r="BA124" i="3"/>
  <c r="BA111" i="3"/>
  <c r="BA96" i="3"/>
  <c r="BA81" i="3"/>
  <c r="BA50" i="3"/>
  <c r="AF19" i="28" a="1"/>
  <c r="AF19" i="28" s="1"/>
  <c r="BA67" i="3"/>
  <c r="BA36" i="3"/>
  <c r="BA69" i="3"/>
  <c r="BA6" i="3"/>
  <c r="AF22" i="28" a="1"/>
  <c r="AF22" i="28" s="1"/>
  <c r="BA103" i="3"/>
  <c r="BA56" i="3"/>
  <c r="AF15" i="28" a="1"/>
  <c r="AF15" i="28" s="1"/>
  <c r="BA11" i="3"/>
  <c r="BA27" i="3"/>
  <c r="BA43" i="3"/>
  <c r="BA59" i="3"/>
  <c r="BA75" i="3"/>
  <c r="BA91" i="3"/>
  <c r="BA107" i="3"/>
  <c r="BA123" i="3"/>
  <c r="BA44" i="3"/>
  <c r="BA92" i="3"/>
  <c r="BA47" i="3"/>
  <c r="BA48" i="3"/>
  <c r="AF9" i="28" a="1"/>
  <c r="AF9" i="28" s="1"/>
  <c r="BA49" i="3"/>
  <c r="BA98" i="3"/>
  <c r="BA35" i="3"/>
  <c r="BA20" i="3"/>
  <c r="BA100" i="3"/>
  <c r="BA53" i="3"/>
  <c r="BA22" i="3"/>
  <c r="BA102" i="3"/>
  <c r="BA39" i="3"/>
  <c r="AF13" i="28" a="1"/>
  <c r="AF13" i="28" s="1"/>
  <c r="BA88" i="3"/>
  <c r="AF6" i="28" a="1"/>
  <c r="AF6" i="28" s="1"/>
  <c r="BA12" i="3"/>
  <c r="BA60" i="3"/>
  <c r="BA95" i="3"/>
  <c r="BA64" i="3"/>
  <c r="BA65" i="3"/>
  <c r="BA18" i="3"/>
  <c r="AF10" i="28" a="1"/>
  <c r="AF10" i="28" s="1"/>
  <c r="BA99" i="3"/>
  <c r="BA52" i="3"/>
  <c r="AF21" i="28" a="1"/>
  <c r="AF21" i="28" s="1"/>
  <c r="BA85" i="3"/>
  <c r="BA70" i="3"/>
  <c r="AF12" i="28" a="1"/>
  <c r="AF12" i="28" s="1"/>
  <c r="BA71" i="3"/>
  <c r="BA104" i="3"/>
  <c r="AF7" i="28" a="1"/>
  <c r="AF7" i="28" s="1"/>
  <c r="AF16" i="28" a="1"/>
  <c r="AF16" i="28" s="1"/>
  <c r="BA13" i="3"/>
  <c r="BA29" i="3"/>
  <c r="BA45" i="3"/>
  <c r="BA61" i="3"/>
  <c r="BA77" i="3"/>
  <c r="BA93" i="3"/>
  <c r="BA109" i="3"/>
  <c r="BA125" i="3"/>
  <c r="BA110" i="3"/>
  <c r="AF8" i="28" a="1"/>
  <c r="AF8" i="28" s="1"/>
  <c r="AF17" i="28" a="1"/>
  <c r="AF17" i="28" s="1"/>
  <c r="BA15" i="3"/>
  <c r="BA63" i="3"/>
  <c r="BA127" i="3"/>
  <c r="BA32" i="3"/>
  <c r="BA2" i="3"/>
  <c r="BA33" i="3"/>
  <c r="BA34" i="3"/>
  <c r="BA114" i="3"/>
  <c r="BA51" i="3"/>
  <c r="AF20" i="28" a="1"/>
  <c r="AF20" i="28" s="1"/>
  <c r="BA68" i="3"/>
  <c r="BA37" i="3"/>
  <c r="BA86" i="3"/>
  <c r="BA87" i="3"/>
  <c r="BA24" i="3"/>
  <c r="BA14" i="3"/>
  <c r="BA30" i="3"/>
  <c r="BA46" i="3"/>
  <c r="BA62" i="3"/>
  <c r="BA78" i="3"/>
  <c r="BA94" i="3"/>
  <c r="BA126" i="3"/>
  <c r="BA79" i="3"/>
  <c r="BA16" i="3"/>
  <c r="BA112" i="3"/>
  <c r="AF18" i="28" a="1"/>
  <c r="AF18" i="28" s="1"/>
  <c r="BA113" i="3"/>
  <c r="BA66" i="3"/>
  <c r="BA3" i="3"/>
  <c r="BA115" i="3"/>
  <c r="BA4" i="3"/>
  <c r="BA116" i="3"/>
  <c r="BA21" i="3"/>
  <c r="BA38" i="3"/>
  <c r="BA7" i="3"/>
  <c r="BA119" i="3"/>
  <c r="BA40" i="3"/>
  <c r="BA120" i="3"/>
  <c r="AF11" i="28" a="1"/>
  <c r="AF11" i="28" s="1"/>
  <c r="BA101" i="3"/>
  <c r="BA55" i="3"/>
  <c r="BA8" i="3"/>
  <c r="AV3" i="3"/>
  <c r="AV19" i="3"/>
  <c r="AV35" i="3"/>
  <c r="AV51" i="3"/>
  <c r="AV67" i="3"/>
  <c r="AV83" i="3"/>
  <c r="AV99" i="3"/>
  <c r="AV115" i="3"/>
  <c r="AU5" i="3"/>
  <c r="BN5" i="3" s="1"/>
  <c r="AU21" i="3"/>
  <c r="BN21" i="3" s="1"/>
  <c r="AU37" i="3"/>
  <c r="BN37" i="3" s="1"/>
  <c r="AU53" i="3"/>
  <c r="BN53" i="3" s="1"/>
  <c r="AU69" i="3"/>
  <c r="BN69" i="3" s="1"/>
  <c r="AU85" i="3"/>
  <c r="BN85" i="3" s="1"/>
  <c r="AU101" i="3"/>
  <c r="BN101" i="3" s="1"/>
  <c r="AU117" i="3"/>
  <c r="BN117" i="3" s="1"/>
  <c r="AR7" i="3" a="1"/>
  <c r="AR7" i="3" s="1"/>
  <c r="AR23" i="3" a="1"/>
  <c r="AR23" i="3" s="1"/>
  <c r="AR39" i="3" a="1"/>
  <c r="AR39" i="3" s="1"/>
  <c r="AR55" i="3" a="1"/>
  <c r="AR55" i="3" s="1"/>
  <c r="AR71" i="3" a="1"/>
  <c r="AR71" i="3" s="1"/>
  <c r="AR87" i="3" a="1"/>
  <c r="AR87" i="3" s="1"/>
  <c r="AR103" i="3" a="1"/>
  <c r="AR103" i="3" s="1"/>
  <c r="AR118" i="3" a="1"/>
  <c r="AR118" i="3" s="1"/>
  <c r="AR41" i="3" a="1"/>
  <c r="AR41" i="3" s="1"/>
  <c r="AR104" i="3" a="1"/>
  <c r="AR104" i="3" s="1"/>
  <c r="AU107" i="3"/>
  <c r="BN107" i="3" s="1"/>
  <c r="AV90" i="3"/>
  <c r="AU28" i="3"/>
  <c r="BN28" i="3" s="1"/>
  <c r="AU124" i="3"/>
  <c r="BN124" i="3" s="1"/>
  <c r="AR94" i="3" a="1"/>
  <c r="AR94" i="3" s="1"/>
  <c r="AV107" i="3"/>
  <c r="AU45" i="3"/>
  <c r="BN45" i="3" s="1"/>
  <c r="AU109" i="3"/>
  <c r="BN109" i="3" s="1"/>
  <c r="AR95" i="3" a="1"/>
  <c r="AR95" i="3" s="1"/>
  <c r="AV44" i="3"/>
  <c r="AV124" i="3"/>
  <c r="AU126" i="3"/>
  <c r="BN126" i="3" s="1"/>
  <c r="AR111" i="3" a="1"/>
  <c r="AR111" i="3" s="1"/>
  <c r="AV93" i="3"/>
  <c r="AU31" i="3"/>
  <c r="BN31" i="3" s="1"/>
  <c r="AU127" i="3"/>
  <c r="BN127" i="3" s="1"/>
  <c r="AR112" i="3" a="1"/>
  <c r="AR112" i="3" s="1"/>
  <c r="AV94" i="3"/>
  <c r="AU48" i="3"/>
  <c r="BN48" i="3" s="1"/>
  <c r="AU2" i="3"/>
  <c r="BN2" i="3" s="1"/>
  <c r="AV95" i="3"/>
  <c r="AV127" i="3"/>
  <c r="AU113" i="3"/>
  <c r="BN113" i="3" s="1"/>
  <c r="AR99" i="3" a="1"/>
  <c r="AR99" i="3" s="1"/>
  <c r="AV112" i="3"/>
  <c r="AU34" i="3"/>
  <c r="BN34" i="3" s="1"/>
  <c r="AU114" i="3"/>
  <c r="BN114" i="3" s="1"/>
  <c r="AR115" i="3" a="1"/>
  <c r="AR115" i="3" s="1"/>
  <c r="AV97" i="3"/>
  <c r="AU35" i="3"/>
  <c r="BN35" i="3" s="1"/>
  <c r="AR21" i="3" a="1"/>
  <c r="AR21" i="3" s="1"/>
  <c r="AR116" i="3" a="1"/>
  <c r="AR116" i="3" s="1"/>
  <c r="AV34" i="3"/>
  <c r="AU84" i="3"/>
  <c r="BN84" i="3" s="1"/>
  <c r="AR70" i="3" a="1"/>
  <c r="AR70" i="3" s="1"/>
  <c r="AV4" i="3"/>
  <c r="AV20" i="3"/>
  <c r="AV36" i="3"/>
  <c r="AV52" i="3"/>
  <c r="AV68" i="3"/>
  <c r="AV84" i="3"/>
  <c r="AV100" i="3"/>
  <c r="AV116" i="3"/>
  <c r="AU6" i="3"/>
  <c r="BN6" i="3" s="1"/>
  <c r="AU22" i="3"/>
  <c r="BN22" i="3" s="1"/>
  <c r="AU38" i="3"/>
  <c r="BN38" i="3" s="1"/>
  <c r="AU54" i="3"/>
  <c r="BN54" i="3" s="1"/>
  <c r="AU70" i="3"/>
  <c r="BN70" i="3" s="1"/>
  <c r="AU86" i="3"/>
  <c r="BN86" i="3" s="1"/>
  <c r="AU102" i="3"/>
  <c r="BN102" i="3" s="1"/>
  <c r="AU118" i="3"/>
  <c r="BN118" i="3" s="1"/>
  <c r="AR8" i="3" a="1"/>
  <c r="AR8" i="3" s="1"/>
  <c r="AR24" i="3" a="1"/>
  <c r="AR24" i="3" s="1"/>
  <c r="AR40" i="3" a="1"/>
  <c r="AR40" i="3" s="1"/>
  <c r="AR56" i="3" a="1"/>
  <c r="AR56" i="3" s="1"/>
  <c r="AR72" i="3" a="1"/>
  <c r="AR72" i="3" s="1"/>
  <c r="AR88" i="3" a="1"/>
  <c r="AR88" i="3" s="1"/>
  <c r="AR119" i="3" a="1"/>
  <c r="AR119" i="3" s="1"/>
  <c r="AR25" i="3" a="1"/>
  <c r="AR25" i="3" s="1"/>
  <c r="AR89" i="3" a="1"/>
  <c r="AR89" i="3" s="1"/>
  <c r="AR13" i="3" a="1"/>
  <c r="AR13" i="3" s="1"/>
  <c r="AR108" i="3" a="1"/>
  <c r="AR108" i="3" s="1"/>
  <c r="AV58" i="3"/>
  <c r="AU44" i="3"/>
  <c r="BN44" i="3" s="1"/>
  <c r="AR30" i="3" a="1"/>
  <c r="AR30" i="3" s="1"/>
  <c r="AV59" i="3"/>
  <c r="AU93" i="3"/>
  <c r="BN93" i="3" s="1"/>
  <c r="AR79" i="3" a="1"/>
  <c r="AR79" i="3" s="1"/>
  <c r="AV12" i="3"/>
  <c r="AU14" i="3"/>
  <c r="BN14" i="3" s="1"/>
  <c r="AU110" i="3"/>
  <c r="BN110" i="3" s="1"/>
  <c r="AV45" i="3"/>
  <c r="AU63" i="3"/>
  <c r="BN63" i="3" s="1"/>
  <c r="AR49" i="3" a="1"/>
  <c r="AR49" i="3" s="1"/>
  <c r="AV14" i="3"/>
  <c r="AU80" i="3"/>
  <c r="BN80" i="3" s="1"/>
  <c r="AR50" i="3" a="1"/>
  <c r="AR50" i="3" s="1"/>
  <c r="AV15" i="3"/>
  <c r="AU49" i="3"/>
  <c r="BN49" i="3" s="1"/>
  <c r="AR51" i="3" a="1"/>
  <c r="AR51" i="3" s="1"/>
  <c r="AV64" i="3"/>
  <c r="AU66" i="3"/>
  <c r="BN66" i="3" s="1"/>
  <c r="AR36" i="3" a="1"/>
  <c r="AR36" i="3" s="1"/>
  <c r="AV17" i="3"/>
  <c r="AU3" i="3"/>
  <c r="BN3" i="3" s="1"/>
  <c r="AU115" i="3"/>
  <c r="BN115" i="3" s="1"/>
  <c r="AV82" i="3"/>
  <c r="AU36" i="3"/>
  <c r="BN36" i="3" s="1"/>
  <c r="AR38" i="3" a="1"/>
  <c r="AR38" i="3" s="1"/>
  <c r="AV5" i="3"/>
  <c r="AV21" i="3"/>
  <c r="AV37" i="3"/>
  <c r="AV53" i="3"/>
  <c r="AV69" i="3"/>
  <c r="AV85" i="3"/>
  <c r="AV101" i="3"/>
  <c r="AV117" i="3"/>
  <c r="AU7" i="3"/>
  <c r="BN7" i="3" s="1"/>
  <c r="AU23" i="3"/>
  <c r="BN23" i="3" s="1"/>
  <c r="AU39" i="3"/>
  <c r="BN39" i="3" s="1"/>
  <c r="AU55" i="3"/>
  <c r="BN55" i="3" s="1"/>
  <c r="AU71" i="3"/>
  <c r="BN71" i="3" s="1"/>
  <c r="AU87" i="3"/>
  <c r="BN87" i="3" s="1"/>
  <c r="AU103" i="3"/>
  <c r="BN103" i="3" s="1"/>
  <c r="AU119" i="3"/>
  <c r="BN119" i="3" s="1"/>
  <c r="AR9" i="3" a="1"/>
  <c r="AR9" i="3" s="1"/>
  <c r="AR57" i="3" a="1"/>
  <c r="AR57" i="3" s="1"/>
  <c r="AR73" i="3" a="1"/>
  <c r="AR73" i="3" s="1"/>
  <c r="AR120" i="3" a="1"/>
  <c r="AR120" i="3" s="1"/>
  <c r="AR45" i="3" a="1"/>
  <c r="AR45" i="3" s="1"/>
  <c r="AR124" i="3" a="1"/>
  <c r="AR124" i="3" s="1"/>
  <c r="AV42" i="3"/>
  <c r="AU60" i="3"/>
  <c r="BN60" i="3" s="1"/>
  <c r="AR46" i="3" a="1"/>
  <c r="AR46" i="3" s="1"/>
  <c r="AV75" i="3"/>
  <c r="AU77" i="3"/>
  <c r="BN77" i="3" s="1"/>
  <c r="AR63" i="3" a="1"/>
  <c r="AR63" i="3" s="1"/>
  <c r="AV92" i="3"/>
  <c r="AU62" i="3"/>
  <c r="BN62" i="3" s="1"/>
  <c r="AR48" i="3" a="1"/>
  <c r="AR48" i="3" s="1"/>
  <c r="AV29" i="3"/>
  <c r="AV125" i="3"/>
  <c r="AU111" i="3"/>
  <c r="BN111" i="3" s="1"/>
  <c r="AR2" i="3" a="1"/>
  <c r="AR2" i="3" s="1"/>
  <c r="AV110" i="3"/>
  <c r="AR98" i="3" a="1"/>
  <c r="AR98" i="3" s="1"/>
  <c r="AV111" i="3"/>
  <c r="AU97" i="3"/>
  <c r="BN97" i="3" s="1"/>
  <c r="AR67" i="3" a="1"/>
  <c r="AR67" i="3" s="1"/>
  <c r="AV16" i="3"/>
  <c r="AU50" i="3"/>
  <c r="BN50" i="3" s="1"/>
  <c r="AR52" i="3" a="1"/>
  <c r="AR52" i="3" s="1"/>
  <c r="AV65" i="3"/>
  <c r="AU51" i="3"/>
  <c r="BN51" i="3" s="1"/>
  <c r="AR53" i="3" a="1"/>
  <c r="AR53" i="3" s="1"/>
  <c r="AV114" i="3"/>
  <c r="AU68" i="3"/>
  <c r="BN68" i="3" s="1"/>
  <c r="AR54" i="3" a="1"/>
  <c r="AR54" i="3" s="1"/>
  <c r="AV6" i="3"/>
  <c r="AV22" i="3"/>
  <c r="AV38" i="3"/>
  <c r="AV54" i="3"/>
  <c r="AV70" i="3"/>
  <c r="AV86" i="3"/>
  <c r="AV102" i="3"/>
  <c r="AV118" i="3"/>
  <c r="AU8" i="3"/>
  <c r="BN8" i="3" s="1"/>
  <c r="AU24" i="3"/>
  <c r="BN24" i="3" s="1"/>
  <c r="AU40" i="3"/>
  <c r="BN40" i="3" s="1"/>
  <c r="AU56" i="3"/>
  <c r="BN56" i="3" s="1"/>
  <c r="AU72" i="3"/>
  <c r="BN72" i="3" s="1"/>
  <c r="AU88" i="3"/>
  <c r="BN88" i="3" s="1"/>
  <c r="AU104" i="3"/>
  <c r="BN104" i="3" s="1"/>
  <c r="AU120" i="3"/>
  <c r="BN120" i="3" s="1"/>
  <c r="AR10" i="3" a="1"/>
  <c r="AR10" i="3" s="1"/>
  <c r="AR26" i="3" a="1"/>
  <c r="AR26" i="3" s="1"/>
  <c r="AR42" i="3" a="1"/>
  <c r="AR42" i="3" s="1"/>
  <c r="AR58" i="3" a="1"/>
  <c r="AR58" i="3" s="1"/>
  <c r="AR74" i="3" a="1"/>
  <c r="AR74" i="3" s="1"/>
  <c r="AR90" i="3" a="1"/>
  <c r="AR90" i="3" s="1"/>
  <c r="AR105" i="3" a="1"/>
  <c r="AR105" i="3" s="1"/>
  <c r="AR121" i="3" a="1"/>
  <c r="AR121" i="3" s="1"/>
  <c r="AR29" i="3" a="1"/>
  <c r="AR29" i="3" s="1"/>
  <c r="AV10" i="3"/>
  <c r="AU12" i="3"/>
  <c r="BN12" i="3" s="1"/>
  <c r="AR14" i="3" a="1"/>
  <c r="AR14" i="3" s="1"/>
  <c r="AR125" i="3" a="1"/>
  <c r="AR125" i="3" s="1"/>
  <c r="AV27" i="3"/>
  <c r="AU29" i="3"/>
  <c r="BN29" i="3" s="1"/>
  <c r="AU125" i="3"/>
  <c r="BN125" i="3" s="1"/>
  <c r="AV60" i="3"/>
  <c r="AU30" i="3"/>
  <c r="BN30" i="3" s="1"/>
  <c r="AR16" i="3" a="1"/>
  <c r="AR16" i="3" s="1"/>
  <c r="AR96" i="3" a="1"/>
  <c r="AR96" i="3" s="1"/>
  <c r="AV61" i="3"/>
  <c r="AU79" i="3"/>
  <c r="BN79" i="3" s="1"/>
  <c r="AR65" i="3" a="1"/>
  <c r="AR65" i="3" s="1"/>
  <c r="AV30" i="3"/>
  <c r="AU32" i="3"/>
  <c r="BN32" i="3" s="1"/>
  <c r="AR18" i="3" a="1"/>
  <c r="AR18" i="3" s="1"/>
  <c r="AR113" i="3" a="1"/>
  <c r="AR113" i="3" s="1"/>
  <c r="AV63" i="3"/>
  <c r="AU81" i="3"/>
  <c r="BN81" i="3" s="1"/>
  <c r="AR83" i="3" a="1"/>
  <c r="AR83" i="3" s="1"/>
  <c r="AV32" i="3"/>
  <c r="AU82" i="3"/>
  <c r="BN82" i="3" s="1"/>
  <c r="AR68" i="3" a="1"/>
  <c r="AR68" i="3" s="1"/>
  <c r="AV49" i="3"/>
  <c r="AU83" i="3"/>
  <c r="BN83" i="3" s="1"/>
  <c r="AR69" i="3" a="1"/>
  <c r="AR69" i="3" s="1"/>
  <c r="AV98" i="3"/>
  <c r="AU100" i="3"/>
  <c r="BN100" i="3" s="1"/>
  <c r="AR86" i="3" a="1"/>
  <c r="AR86" i="3" s="1"/>
  <c r="AV7" i="3"/>
  <c r="AV23" i="3"/>
  <c r="AV39" i="3"/>
  <c r="AV55" i="3"/>
  <c r="AV71" i="3"/>
  <c r="AV87" i="3"/>
  <c r="AV103" i="3"/>
  <c r="AV119" i="3"/>
  <c r="AU9" i="3"/>
  <c r="BN9" i="3" s="1"/>
  <c r="AU25" i="3"/>
  <c r="BN25" i="3" s="1"/>
  <c r="AU41" i="3"/>
  <c r="BN41" i="3" s="1"/>
  <c r="AU57" i="3"/>
  <c r="BN57" i="3" s="1"/>
  <c r="AU73" i="3"/>
  <c r="BN73" i="3" s="1"/>
  <c r="AU89" i="3"/>
  <c r="BN89" i="3" s="1"/>
  <c r="AU105" i="3"/>
  <c r="BN105" i="3" s="1"/>
  <c r="AU121" i="3"/>
  <c r="BN121" i="3" s="1"/>
  <c r="AR11" i="3" a="1"/>
  <c r="AR11" i="3" s="1"/>
  <c r="AR27" i="3" a="1"/>
  <c r="AR27" i="3" s="1"/>
  <c r="AR43" i="3" a="1"/>
  <c r="AR43" i="3" s="1"/>
  <c r="AR59" i="3" a="1"/>
  <c r="AR59" i="3" s="1"/>
  <c r="AR75" i="3" a="1"/>
  <c r="AR75" i="3" s="1"/>
  <c r="AR91" i="3" a="1"/>
  <c r="AR91" i="3" s="1"/>
  <c r="AR106" i="3" a="1"/>
  <c r="AR106" i="3" s="1"/>
  <c r="AR122" i="3" a="1"/>
  <c r="AR122" i="3" s="1"/>
  <c r="AR61" i="3" a="1"/>
  <c r="AR61" i="3" s="1"/>
  <c r="AV26" i="3"/>
  <c r="AU76" i="3"/>
  <c r="BN76" i="3" s="1"/>
  <c r="AR78" i="3" a="1"/>
  <c r="AR78" i="3" s="1"/>
  <c r="AV11" i="3"/>
  <c r="AV123" i="3"/>
  <c r="AR31" i="3" a="1"/>
  <c r="AR31" i="3" s="1"/>
  <c r="AR126" i="3" a="1"/>
  <c r="AR126" i="3" s="1"/>
  <c r="AV76" i="3"/>
  <c r="AU78" i="3"/>
  <c r="BN78" i="3" s="1"/>
  <c r="AR64" i="3" a="1"/>
  <c r="AR64" i="3" s="1"/>
  <c r="AR127" i="3" a="1"/>
  <c r="AR127" i="3" s="1"/>
  <c r="AV77" i="3"/>
  <c r="AU47" i="3"/>
  <c r="BN47" i="3" s="1"/>
  <c r="AR17" i="3" a="1"/>
  <c r="AR17" i="3" s="1"/>
  <c r="AR97" i="3" a="1"/>
  <c r="AR97" i="3" s="1"/>
  <c r="AV62" i="3"/>
  <c r="AV126" i="3"/>
  <c r="AU96" i="3"/>
  <c r="BN96" i="3" s="1"/>
  <c r="AR66" i="3" a="1"/>
  <c r="AR66" i="3" s="1"/>
  <c r="AV79" i="3"/>
  <c r="AU17" i="3"/>
  <c r="BN17" i="3" s="1"/>
  <c r="AR3" i="3" a="1"/>
  <c r="AR3" i="3" s="1"/>
  <c r="AR114" i="3" a="1"/>
  <c r="AR114" i="3" s="1"/>
  <c r="AV96" i="3"/>
  <c r="AU98" i="3"/>
  <c r="BN98" i="3" s="1"/>
  <c r="AR84" i="3" a="1"/>
  <c r="AR84" i="3" s="1"/>
  <c r="AV33" i="3"/>
  <c r="AU67" i="3"/>
  <c r="BN67" i="3" s="1"/>
  <c r="AR37" i="3" a="1"/>
  <c r="AR37" i="3" s="1"/>
  <c r="AV50" i="3"/>
  <c r="AU20" i="3"/>
  <c r="BN20" i="3" s="1"/>
  <c r="AR6" i="3" a="1"/>
  <c r="AR6" i="3" s="1"/>
  <c r="AR102" i="3" a="1"/>
  <c r="AR102" i="3" s="1"/>
  <c r="AV8" i="3"/>
  <c r="AV24" i="3"/>
  <c r="AV40" i="3"/>
  <c r="AV56" i="3"/>
  <c r="AV72" i="3"/>
  <c r="AV88" i="3"/>
  <c r="AV104" i="3"/>
  <c r="AV120" i="3"/>
  <c r="AU10" i="3"/>
  <c r="BN10" i="3" s="1"/>
  <c r="AU26" i="3"/>
  <c r="BN26" i="3" s="1"/>
  <c r="AU42" i="3"/>
  <c r="BN42" i="3" s="1"/>
  <c r="AU58" i="3"/>
  <c r="BN58" i="3" s="1"/>
  <c r="AU74" i="3"/>
  <c r="BN74" i="3" s="1"/>
  <c r="AU90" i="3"/>
  <c r="BN90" i="3" s="1"/>
  <c r="AU106" i="3"/>
  <c r="BN106" i="3" s="1"/>
  <c r="AU122" i="3"/>
  <c r="BN122" i="3" s="1"/>
  <c r="AR12" i="3" a="1"/>
  <c r="AR12" i="3" s="1"/>
  <c r="AR28" i="3" a="1"/>
  <c r="AR28" i="3" s="1"/>
  <c r="AR44" i="3" a="1"/>
  <c r="AR44" i="3" s="1"/>
  <c r="AR60" i="3" a="1"/>
  <c r="AR60" i="3" s="1"/>
  <c r="AR76" i="3" a="1"/>
  <c r="AR76" i="3" s="1"/>
  <c r="AR92" i="3" a="1"/>
  <c r="AR92" i="3" s="1"/>
  <c r="AR107" i="3" a="1"/>
  <c r="AR107" i="3" s="1"/>
  <c r="AR123" i="3" a="1"/>
  <c r="AR123" i="3" s="1"/>
  <c r="AV25" i="3"/>
  <c r="AV73" i="3"/>
  <c r="AV105" i="3"/>
  <c r="AU11" i="3"/>
  <c r="BN11" i="3" s="1"/>
  <c r="AU43" i="3"/>
  <c r="BN43" i="3" s="1"/>
  <c r="AU75" i="3"/>
  <c r="BN75" i="3" s="1"/>
  <c r="AU123" i="3"/>
  <c r="BN123" i="3" s="1"/>
  <c r="AR93" i="3" a="1"/>
  <c r="AR93" i="3" s="1"/>
  <c r="AV74" i="3"/>
  <c r="AV122" i="3"/>
  <c r="AU108" i="3"/>
  <c r="BN108" i="3" s="1"/>
  <c r="AR109" i="3" a="1"/>
  <c r="AR109" i="3" s="1"/>
  <c r="AV91" i="3"/>
  <c r="AU61" i="3"/>
  <c r="BN61" i="3" s="1"/>
  <c r="AR47" i="3" a="1"/>
  <c r="AR47" i="3" s="1"/>
  <c r="AV28" i="3"/>
  <c r="AU46" i="3"/>
  <c r="BN46" i="3" s="1"/>
  <c r="AR32" i="3" a="1"/>
  <c r="AR32" i="3" s="1"/>
  <c r="AV13" i="3"/>
  <c r="AU15" i="3"/>
  <c r="BN15" i="3" s="1"/>
  <c r="AR33" i="3" a="1"/>
  <c r="AR33" i="3" s="1"/>
  <c r="AV78" i="3"/>
  <c r="AU64" i="3"/>
  <c r="BN64" i="3" s="1"/>
  <c r="AR34" i="3" a="1"/>
  <c r="AR34" i="3" s="1"/>
  <c r="AR82" i="3" a="1"/>
  <c r="AR82" i="3" s="1"/>
  <c r="AV31" i="3"/>
  <c r="AU65" i="3"/>
  <c r="BN65" i="3" s="1"/>
  <c r="AR35" i="3" a="1"/>
  <c r="AR35" i="3" s="1"/>
  <c r="AV48" i="3"/>
  <c r="AV2" i="3"/>
  <c r="AR20" i="3" a="1"/>
  <c r="AR20" i="3" s="1"/>
  <c r="AV113" i="3"/>
  <c r="AU19" i="3"/>
  <c r="BN19" i="3" s="1"/>
  <c r="AR5" i="3" a="1"/>
  <c r="AR5" i="3" s="1"/>
  <c r="AR101" i="3" a="1"/>
  <c r="AR101" i="3" s="1"/>
  <c r="AV18" i="3"/>
  <c r="AU4" i="3"/>
  <c r="BN4" i="3" s="1"/>
  <c r="AU116" i="3"/>
  <c r="BN116" i="3" s="1"/>
  <c r="AR117" i="3" a="1"/>
  <c r="AR117" i="3" s="1"/>
  <c r="AV9" i="3"/>
  <c r="AV41" i="3"/>
  <c r="AV57" i="3"/>
  <c r="AV89" i="3"/>
  <c r="AV121" i="3"/>
  <c r="AU27" i="3"/>
  <c r="BN27" i="3" s="1"/>
  <c r="AU59" i="3"/>
  <c r="BN59" i="3" s="1"/>
  <c r="AU91" i="3"/>
  <c r="BN91" i="3" s="1"/>
  <c r="AR77" i="3" a="1"/>
  <c r="AR77" i="3" s="1"/>
  <c r="AV106" i="3"/>
  <c r="AU92" i="3"/>
  <c r="BN92" i="3" s="1"/>
  <c r="AR62" i="3" a="1"/>
  <c r="AR62" i="3" s="1"/>
  <c r="AV43" i="3"/>
  <c r="AU13" i="3"/>
  <c r="BN13" i="3" s="1"/>
  <c r="AR15" i="3" a="1"/>
  <c r="AR15" i="3" s="1"/>
  <c r="AR110" i="3" a="1"/>
  <c r="AR110" i="3" s="1"/>
  <c r="AV108" i="3"/>
  <c r="AU94" i="3"/>
  <c r="BN94" i="3" s="1"/>
  <c r="AR80" i="3" a="1"/>
  <c r="AR80" i="3" s="1"/>
  <c r="O54" i="20"/>
  <c r="AV109" i="3"/>
  <c r="AU95" i="3"/>
  <c r="BN95" i="3" s="1"/>
  <c r="AR81" i="3" a="1"/>
  <c r="AR81" i="3" s="1"/>
  <c r="AV46" i="3"/>
  <c r="AU16" i="3"/>
  <c r="BN16" i="3" s="1"/>
  <c r="AU112" i="3"/>
  <c r="BN112" i="3" s="1"/>
  <c r="AV47" i="3"/>
  <c r="AU33" i="3"/>
  <c r="BN33" i="3" s="1"/>
  <c r="AR19" i="3" a="1"/>
  <c r="AR19" i="3" s="1"/>
  <c r="AV80" i="3"/>
  <c r="AU18" i="3"/>
  <c r="BN18" i="3" s="1"/>
  <c r="AR4" i="3" a="1"/>
  <c r="AR4" i="3" s="1"/>
  <c r="AR100" i="3" a="1"/>
  <c r="AR100" i="3" s="1"/>
  <c r="AV81" i="3"/>
  <c r="AU99" i="3"/>
  <c r="BN99" i="3" s="1"/>
  <c r="AR85" i="3" a="1"/>
  <c r="AR85" i="3" s="1"/>
  <c r="AV66" i="3"/>
  <c r="AU52" i="3"/>
  <c r="BN52" i="3" s="1"/>
  <c r="AR22" i="3" a="1"/>
  <c r="AR22" i="3" s="1"/>
  <c r="M54" i="20"/>
  <c r="H53" i="20"/>
  <c r="AQ3" i="3" a="1"/>
  <c r="AQ3" i="3" s="1"/>
  <c r="AM3" i="3" s="1" a="1"/>
  <c r="AM3" i="3" s="1"/>
  <c r="AQ11" i="3" a="1"/>
  <c r="AQ11" i="3" s="1"/>
  <c r="AM11" i="3" s="1" a="1"/>
  <c r="AM11" i="3" s="1"/>
  <c r="AQ21" i="3" a="1"/>
  <c r="AQ21" i="3" s="1"/>
  <c r="AM21" i="3" s="1" a="1"/>
  <c r="AM21" i="3" s="1"/>
  <c r="AQ30" i="3" a="1"/>
  <c r="AQ30" i="3" s="1"/>
  <c r="AM30" i="3" s="1" a="1"/>
  <c r="AM30" i="3" s="1"/>
  <c r="AQ39" i="3" a="1"/>
  <c r="AQ39" i="3" s="1"/>
  <c r="AM39" i="3" s="1" a="1"/>
  <c r="AM39" i="3" s="1"/>
  <c r="AQ48" i="3" a="1"/>
  <c r="AQ48" i="3" s="1"/>
  <c r="AM48" i="3" s="1" a="1"/>
  <c r="AM48" i="3" s="1"/>
  <c r="AQ57" i="3" a="1"/>
  <c r="AQ57" i="3" s="1"/>
  <c r="AM57" i="3" s="1" a="1"/>
  <c r="AM57" i="3" s="1"/>
  <c r="AQ66" i="3" a="1"/>
  <c r="AQ66" i="3" s="1"/>
  <c r="AM66" i="3" s="1" a="1"/>
  <c r="AM66" i="3" s="1"/>
  <c r="AQ75" i="3" a="1"/>
  <c r="AQ75" i="3" s="1"/>
  <c r="AM75" i="3" s="1" a="1"/>
  <c r="AM75" i="3" s="1"/>
  <c r="AQ85" i="3" a="1"/>
  <c r="AQ85" i="3" s="1"/>
  <c r="AM85" i="3" s="1" a="1"/>
  <c r="AM85" i="3" s="1"/>
  <c r="AQ94" i="3" a="1"/>
  <c r="AQ94" i="3" s="1"/>
  <c r="AM94" i="3" s="1" a="1"/>
  <c r="AM94" i="3" s="1"/>
  <c r="AQ103" i="3" a="1"/>
  <c r="AQ103" i="3" s="1"/>
  <c r="AM103" i="3" s="1" a="1"/>
  <c r="AM103" i="3" s="1"/>
  <c r="AQ112" i="3" a="1"/>
  <c r="AQ112" i="3" s="1"/>
  <c r="AM112" i="3" s="1" a="1"/>
  <c r="AM112" i="3" s="1"/>
  <c r="AQ121" i="3" a="1"/>
  <c r="AQ121" i="3" s="1"/>
  <c r="AM121" i="3" s="1" a="1"/>
  <c r="AM121" i="3" s="1"/>
  <c r="AQ22" i="3" a="1"/>
  <c r="AQ22" i="3" s="1"/>
  <c r="AM22" i="3" s="1" a="1"/>
  <c r="AM22" i="3" s="1"/>
  <c r="AQ40" i="3" a="1"/>
  <c r="AQ40" i="3" s="1"/>
  <c r="AM40" i="3" s="1" a="1"/>
  <c r="AM40" i="3" s="1"/>
  <c r="AQ58" i="3" a="1"/>
  <c r="AQ58" i="3" s="1"/>
  <c r="AM58" i="3" s="1" a="1"/>
  <c r="AM58" i="3" s="1"/>
  <c r="AQ86" i="3" a="1"/>
  <c r="AQ86" i="3" s="1"/>
  <c r="AM86" i="3" s="1" a="1"/>
  <c r="AM86" i="3" s="1"/>
  <c r="AQ113" i="3" a="1"/>
  <c r="AQ113" i="3" s="1"/>
  <c r="AM113" i="3" s="1" a="1"/>
  <c r="AM113" i="3" s="1"/>
  <c r="AQ23" i="3" a="1"/>
  <c r="AQ23" i="3" s="1"/>
  <c r="AM23" i="3" s="1" a="1"/>
  <c r="AM23" i="3" s="1"/>
  <c r="AQ50" i="3" a="1"/>
  <c r="AQ50" i="3" s="1"/>
  <c r="AM50" i="3" s="1" a="1"/>
  <c r="AM50" i="3" s="1"/>
  <c r="AQ78" i="3" a="1"/>
  <c r="AQ78" i="3" s="1"/>
  <c r="AM78" i="3" s="1" a="1"/>
  <c r="AM78" i="3" s="1"/>
  <c r="AQ96" i="3" a="1"/>
  <c r="AQ96" i="3" s="1"/>
  <c r="AM96" i="3" s="1" a="1"/>
  <c r="AM96" i="3" s="1"/>
  <c r="AQ42" i="3" a="1"/>
  <c r="AQ42" i="3" s="1"/>
  <c r="AM42" i="3" s="1" a="1"/>
  <c r="AM42" i="3" s="1"/>
  <c r="AQ106" i="3" a="1"/>
  <c r="AQ106" i="3" s="1"/>
  <c r="AM106" i="3" s="1" a="1"/>
  <c r="AM106" i="3" s="1"/>
  <c r="AQ43" i="3" a="1"/>
  <c r="AQ43" i="3" s="1"/>
  <c r="AM43" i="3" s="1" a="1"/>
  <c r="AM43" i="3" s="1"/>
  <c r="AQ44" i="3" a="1"/>
  <c r="AQ44" i="3" s="1"/>
  <c r="AM44" i="3" s="1" a="1"/>
  <c r="AM44" i="3" s="1"/>
  <c r="AQ12" i="3" a="1"/>
  <c r="AQ12" i="3" s="1"/>
  <c r="AM12" i="3" s="1" a="1"/>
  <c r="AM12" i="3" s="1"/>
  <c r="AQ76" i="3" a="1"/>
  <c r="AQ76" i="3" s="1"/>
  <c r="AM76" i="3" s="1" a="1"/>
  <c r="AM76" i="3" s="1"/>
  <c r="AQ13" i="3" a="1"/>
  <c r="AQ13" i="3" s="1"/>
  <c r="AM13" i="3" s="1" a="1"/>
  <c r="AM13" i="3" s="1"/>
  <c r="AQ49" i="3" a="1"/>
  <c r="AQ49" i="3" s="1"/>
  <c r="AM49" i="3" s="1" a="1"/>
  <c r="AM49" i="3" s="1"/>
  <c r="AQ77" i="3" a="1"/>
  <c r="AQ77" i="3" s="1"/>
  <c r="AM77" i="3" s="1" a="1"/>
  <c r="AM77" i="3" s="1"/>
  <c r="AQ95" i="3" a="1"/>
  <c r="AQ95" i="3" s="1"/>
  <c r="AM95" i="3" s="1" a="1"/>
  <c r="AM95" i="3" s="1"/>
  <c r="AQ122" i="3" a="1"/>
  <c r="AQ122" i="3" s="1"/>
  <c r="AM122" i="3" s="1" a="1"/>
  <c r="AM122" i="3" s="1"/>
  <c r="AQ14" i="3" a="1"/>
  <c r="AQ14" i="3" s="1"/>
  <c r="AM14" i="3" s="1" a="1"/>
  <c r="AM14" i="3" s="1"/>
  <c r="AQ32" i="3" a="1"/>
  <c r="AQ32" i="3" s="1"/>
  <c r="AM32" i="3" s="1" a="1"/>
  <c r="AM32" i="3" s="1"/>
  <c r="AQ59" i="3" a="1"/>
  <c r="AQ59" i="3" s="1"/>
  <c r="AM59" i="3" s="1" a="1"/>
  <c r="AM59" i="3" s="1"/>
  <c r="AQ87" i="3" a="1"/>
  <c r="AQ87" i="3" s="1"/>
  <c r="AM87" i="3" s="1" a="1"/>
  <c r="AM87" i="3" s="1"/>
  <c r="AQ114" i="3" a="1"/>
  <c r="AQ114" i="3" s="1"/>
  <c r="AM114" i="3" s="1" a="1"/>
  <c r="AM114" i="3" s="1"/>
  <c r="AQ24" i="3" a="1"/>
  <c r="AQ24" i="3" s="1"/>
  <c r="AM24" i="3" s="1" a="1"/>
  <c r="AM24" i="3" s="1"/>
  <c r="AQ88" i="3" a="1"/>
  <c r="AQ88" i="3" s="1"/>
  <c r="AM88" i="3" s="1" a="1"/>
  <c r="AM88" i="3" s="1"/>
  <c r="AQ7" i="3" a="1"/>
  <c r="AQ7" i="3" s="1"/>
  <c r="AM7" i="3" s="1" a="1"/>
  <c r="AM7" i="3" s="1"/>
  <c r="AQ34" i="3" a="1"/>
  <c r="AQ34" i="3" s="1"/>
  <c r="AM34" i="3" s="1" a="1"/>
  <c r="AM34" i="3" s="1"/>
  <c r="AQ62" i="3" a="1"/>
  <c r="AQ62" i="3" s="1"/>
  <c r="AM62" i="3" s="1" a="1"/>
  <c r="AM62" i="3" s="1"/>
  <c r="AQ89" i="3" a="1"/>
  <c r="AQ89" i="3" s="1"/>
  <c r="AM89" i="3" s="1" a="1"/>
  <c r="AM89" i="3" s="1"/>
  <c r="AQ107" i="3" a="1"/>
  <c r="AQ107" i="3" s="1"/>
  <c r="AM107" i="3" s="1" a="1"/>
  <c r="AM107" i="3" s="1"/>
  <c r="AQ4" i="3" a="1"/>
  <c r="AQ4" i="3" s="1"/>
  <c r="AM4" i="3" s="1" a="1"/>
  <c r="AM4" i="3" s="1"/>
  <c r="AQ31" i="3" a="1"/>
  <c r="AQ31" i="3" s="1"/>
  <c r="AM31" i="3" s="1" a="1"/>
  <c r="AM31" i="3" s="1"/>
  <c r="AQ67" i="3" a="1"/>
  <c r="AQ67" i="3" s="1"/>
  <c r="AM67" i="3" s="1" a="1"/>
  <c r="AM67" i="3" s="1"/>
  <c r="AQ104" i="3" a="1"/>
  <c r="AQ104" i="3" s="1"/>
  <c r="AM104" i="3" s="1" a="1"/>
  <c r="AM104" i="3" s="1"/>
  <c r="AQ69" i="3" a="1"/>
  <c r="AQ69" i="3" s="1"/>
  <c r="AM69" i="3" s="1" a="1"/>
  <c r="AM69" i="3" s="1"/>
  <c r="AQ33" i="3" a="1"/>
  <c r="AQ33" i="3" s="1"/>
  <c r="AM33" i="3" s="1" a="1"/>
  <c r="AM33" i="3" s="1"/>
  <c r="AQ115" i="3" a="1"/>
  <c r="AQ115" i="3" s="1"/>
  <c r="AM115" i="3" s="1" a="1"/>
  <c r="AM115" i="3" s="1"/>
  <c r="AQ52" i="3" a="1"/>
  <c r="AQ52" i="3" s="1"/>
  <c r="AM52" i="3" s="1" a="1"/>
  <c r="AM52" i="3" s="1"/>
  <c r="AQ25" i="3" a="1"/>
  <c r="AQ25" i="3" s="1"/>
  <c r="AM25" i="3" s="1" a="1"/>
  <c r="AM25" i="3" s="1"/>
  <c r="AQ117" i="3" a="1"/>
  <c r="AQ117" i="3" s="1"/>
  <c r="AM117" i="3" s="1" a="1"/>
  <c r="AM117" i="3" s="1"/>
  <c r="AQ68" i="3" a="1"/>
  <c r="AQ68" i="3" s="1"/>
  <c r="AM68" i="3" s="1" a="1"/>
  <c r="AM68" i="3" s="1"/>
  <c r="AQ123" i="3" a="1"/>
  <c r="AQ123" i="3" s="1"/>
  <c r="AM123" i="3" s="1" a="1"/>
  <c r="AM123" i="3" s="1"/>
  <c r="AQ61" i="3" a="1"/>
  <c r="AQ61" i="3" s="1"/>
  <c r="AM61" i="3" s="1" a="1"/>
  <c r="AM61" i="3" s="1"/>
  <c r="AQ125" i="3" a="1"/>
  <c r="AQ125" i="3" s="1"/>
  <c r="AM125" i="3" s="1" a="1"/>
  <c r="AM125" i="3" s="1"/>
  <c r="AQ80" i="3" a="1"/>
  <c r="AQ80" i="3" s="1"/>
  <c r="AM80" i="3" s="1" a="1"/>
  <c r="AM80" i="3" s="1"/>
  <c r="AQ126" i="3" a="1"/>
  <c r="AQ126" i="3" s="1"/>
  <c r="AM126" i="3" s="1" a="1"/>
  <c r="AM126" i="3" s="1"/>
  <c r="AQ84" i="3" a="1"/>
  <c r="AQ84" i="3" s="1"/>
  <c r="AM84" i="3" s="1" a="1"/>
  <c r="AM84" i="3" s="1"/>
  <c r="AQ5" i="3" a="1"/>
  <c r="AQ5" i="3" s="1"/>
  <c r="AM5" i="3" s="1" a="1"/>
  <c r="AM5" i="3" s="1"/>
  <c r="AQ41" i="3" a="1"/>
  <c r="AQ41" i="3" s="1"/>
  <c r="AM41" i="3" s="1" a="1"/>
  <c r="AM41" i="3" s="1"/>
  <c r="AQ105" i="3" a="1"/>
  <c r="AQ105" i="3" s="1"/>
  <c r="AM105" i="3" s="1" a="1"/>
  <c r="AM105" i="3" s="1"/>
  <c r="AQ15" i="3" a="1"/>
  <c r="AQ15" i="3" s="1"/>
  <c r="AM15" i="3" s="1" a="1"/>
  <c r="AM15" i="3" s="1"/>
  <c r="AQ51" i="3" a="1"/>
  <c r="AQ51" i="3" s="1"/>
  <c r="AM51" i="3" s="1" a="1"/>
  <c r="AM51" i="3" s="1"/>
  <c r="AQ79" i="3" a="1"/>
  <c r="AQ79" i="3" s="1"/>
  <c r="AM79" i="3" s="1" a="1"/>
  <c r="AM79" i="3" s="1"/>
  <c r="AQ97" i="3" a="1"/>
  <c r="AQ97" i="3" s="1"/>
  <c r="AM97" i="3" s="1" a="1"/>
  <c r="AM97" i="3" s="1"/>
  <c r="AQ53" i="3" a="1"/>
  <c r="AQ53" i="3" s="1"/>
  <c r="AM53" i="3" s="1" a="1"/>
  <c r="AM53" i="3" s="1"/>
  <c r="AQ60" i="3" a="1"/>
  <c r="AQ60" i="3" s="1"/>
  <c r="AM60" i="3" s="1" a="1"/>
  <c r="AM60" i="3" s="1"/>
  <c r="AQ124" i="3" a="1"/>
  <c r="AQ124" i="3" s="1"/>
  <c r="AM124" i="3" s="1" a="1"/>
  <c r="AM124" i="3" s="1"/>
  <c r="AQ116" i="3" a="1"/>
  <c r="AQ116" i="3" s="1"/>
  <c r="AM116" i="3" s="1" a="1"/>
  <c r="AM116" i="3" s="1"/>
  <c r="AQ16" i="3" a="1"/>
  <c r="AQ16" i="3" s="1"/>
  <c r="AM16" i="3" s="1" a="1"/>
  <c r="AM16" i="3" s="1"/>
  <c r="AQ71" i="3" a="1"/>
  <c r="AQ71" i="3" s="1"/>
  <c r="AM71" i="3" s="1" a="1"/>
  <c r="AM71" i="3" s="1"/>
  <c r="AQ98" i="3" a="1"/>
  <c r="AQ98" i="3" s="1"/>
  <c r="AM98" i="3" s="1" a="1"/>
  <c r="AM98" i="3" s="1"/>
  <c r="AQ20" i="3" a="1"/>
  <c r="AQ20" i="3" s="1"/>
  <c r="AM20" i="3" s="1" a="1"/>
  <c r="AM20" i="3" s="1"/>
  <c r="AQ6" i="3" a="1"/>
  <c r="AQ6" i="3" s="1"/>
  <c r="AM6" i="3" s="1" a="1"/>
  <c r="AM6" i="3" s="1"/>
  <c r="AQ70" i="3" a="1"/>
  <c r="AQ70" i="3" s="1"/>
  <c r="AM70" i="3" s="1" a="1"/>
  <c r="AM70" i="3" s="1"/>
  <c r="AQ108" i="3" a="1"/>
  <c r="AQ108" i="3" s="1"/>
  <c r="AM108" i="3" s="1" a="1"/>
  <c r="AM108" i="3" s="1"/>
  <c r="AQ8" i="3" a="1"/>
  <c r="AQ8" i="3" s="1"/>
  <c r="AM8" i="3" s="1" a="1"/>
  <c r="AM8" i="3" s="1"/>
  <c r="AQ17" i="3" a="1"/>
  <c r="AQ17" i="3" s="1"/>
  <c r="AM17" i="3" s="1" a="1"/>
  <c r="AM17" i="3" s="1"/>
  <c r="AQ26" i="3" a="1"/>
  <c r="AQ26" i="3" s="1"/>
  <c r="AM26" i="3" s="1" a="1"/>
  <c r="AM26" i="3" s="1"/>
  <c r="AQ35" i="3" a="1"/>
  <c r="AQ35" i="3" s="1"/>
  <c r="AM35" i="3" s="1" a="1"/>
  <c r="AM35" i="3" s="1"/>
  <c r="AQ45" i="3" a="1"/>
  <c r="AQ45" i="3" s="1"/>
  <c r="AM45" i="3" s="1" a="1"/>
  <c r="AM45" i="3" s="1"/>
  <c r="AQ54" i="3" a="1"/>
  <c r="AQ54" i="3" s="1"/>
  <c r="AM54" i="3" s="1" a="1"/>
  <c r="AM54" i="3" s="1"/>
  <c r="AQ63" i="3" a="1"/>
  <c r="AQ63" i="3" s="1"/>
  <c r="AM63" i="3" s="1" a="1"/>
  <c r="AM63" i="3" s="1"/>
  <c r="AQ72" i="3" a="1"/>
  <c r="AQ72" i="3" s="1"/>
  <c r="AM72" i="3" s="1" a="1"/>
  <c r="AM72" i="3" s="1"/>
  <c r="AQ81" i="3" a="1"/>
  <c r="AQ81" i="3" s="1"/>
  <c r="AM81" i="3" s="1" a="1"/>
  <c r="AM81" i="3" s="1"/>
  <c r="AQ90" i="3" a="1"/>
  <c r="AQ90" i="3" s="1"/>
  <c r="AM90" i="3" s="1" a="1"/>
  <c r="AM90" i="3" s="1"/>
  <c r="AQ99" i="3" a="1"/>
  <c r="AQ99" i="3" s="1"/>
  <c r="AM99" i="3" s="1" a="1"/>
  <c r="AM99" i="3" s="1"/>
  <c r="AQ109" i="3" a="1"/>
  <c r="AQ109" i="3" s="1"/>
  <c r="AM109" i="3" s="1" a="1"/>
  <c r="AM109" i="3" s="1"/>
  <c r="AQ118" i="3" a="1"/>
  <c r="AQ118" i="3" s="1"/>
  <c r="AM118" i="3" s="1" a="1"/>
  <c r="AM118" i="3" s="1"/>
  <c r="AQ127" i="3" a="1"/>
  <c r="AQ127" i="3" s="1"/>
  <c r="AM127" i="3" s="1" a="1"/>
  <c r="AM127" i="3" s="1"/>
  <c r="AQ36" i="3" a="1"/>
  <c r="AQ36" i="3" s="1"/>
  <c r="AM36" i="3" s="1" a="1"/>
  <c r="AM36" i="3" s="1"/>
  <c r="AQ100" i="3" a="1"/>
  <c r="AQ100" i="3" s="1"/>
  <c r="AM100" i="3" s="1" a="1"/>
  <c r="AM100" i="3" s="1"/>
  <c r="AQ9" i="3" a="1"/>
  <c r="AQ9" i="3" s="1"/>
  <c r="AM9" i="3" s="1" a="1"/>
  <c r="AM9" i="3" s="1"/>
  <c r="AQ18" i="3" a="1"/>
  <c r="AQ18" i="3" s="1"/>
  <c r="AM18" i="3" s="1" a="1"/>
  <c r="AM18" i="3" s="1"/>
  <c r="AQ27" i="3" a="1"/>
  <c r="AQ27" i="3" s="1"/>
  <c r="AM27" i="3" s="1" a="1"/>
  <c r="AM27" i="3" s="1"/>
  <c r="AQ37" i="3" a="1"/>
  <c r="AQ37" i="3" s="1"/>
  <c r="AM37" i="3" s="1" a="1"/>
  <c r="AM37" i="3" s="1"/>
  <c r="AQ46" i="3" a="1"/>
  <c r="AQ46" i="3" s="1"/>
  <c r="AM46" i="3" s="1" a="1"/>
  <c r="AM46" i="3" s="1"/>
  <c r="AQ55" i="3" a="1"/>
  <c r="AQ55" i="3" s="1"/>
  <c r="AM55" i="3" s="1" a="1"/>
  <c r="AM55" i="3" s="1"/>
  <c r="AQ64" i="3" a="1"/>
  <c r="AQ64" i="3" s="1"/>
  <c r="AM64" i="3" s="1" a="1"/>
  <c r="AM64" i="3" s="1"/>
  <c r="AQ73" i="3" a="1"/>
  <c r="AQ73" i="3" s="1"/>
  <c r="AM73" i="3" s="1" a="1"/>
  <c r="AM73" i="3" s="1"/>
  <c r="AQ82" i="3" a="1"/>
  <c r="AQ82" i="3" s="1"/>
  <c r="AM82" i="3" s="1" a="1"/>
  <c r="AM82" i="3" s="1"/>
  <c r="AQ91" i="3" a="1"/>
  <c r="AQ91" i="3" s="1"/>
  <c r="AM91" i="3" s="1" a="1"/>
  <c r="AM91" i="3" s="1"/>
  <c r="AQ101" i="3" a="1"/>
  <c r="AQ101" i="3" s="1"/>
  <c r="AM101" i="3" s="1" a="1"/>
  <c r="AM101" i="3" s="1"/>
  <c r="AQ110" i="3" a="1"/>
  <c r="AQ110" i="3" s="1"/>
  <c r="AM110" i="3" s="1" a="1"/>
  <c r="AM110" i="3" s="1"/>
  <c r="AQ119" i="3" a="1"/>
  <c r="AQ119" i="3" s="1"/>
  <c r="AM119" i="3" s="1" a="1"/>
  <c r="AM119" i="3" s="1"/>
  <c r="AQ2" i="3" a="1"/>
  <c r="AQ2" i="3" s="1"/>
  <c r="AM2" i="3" s="1" a="1"/>
  <c r="AM2" i="3" s="1"/>
  <c r="AQ28" i="3" a="1"/>
  <c r="AQ28" i="3" s="1"/>
  <c r="AM28" i="3" s="1" a="1"/>
  <c r="AM28" i="3" s="1"/>
  <c r="AQ92" i="3" a="1"/>
  <c r="AQ92" i="3" s="1"/>
  <c r="AM92" i="3" s="1" a="1"/>
  <c r="AM92" i="3" s="1"/>
  <c r="AQ10" i="3" a="1"/>
  <c r="AQ10" i="3" s="1"/>
  <c r="AM10" i="3" s="1" a="1"/>
  <c r="AM10" i="3" s="1"/>
  <c r="AQ19" i="3" a="1"/>
  <c r="AQ19" i="3" s="1"/>
  <c r="AM19" i="3" s="1" a="1"/>
  <c r="AM19" i="3" s="1"/>
  <c r="AQ29" i="3" a="1"/>
  <c r="AQ29" i="3" s="1"/>
  <c r="AM29" i="3" s="1" a="1"/>
  <c r="AM29" i="3" s="1"/>
  <c r="AQ38" i="3" a="1"/>
  <c r="AQ38" i="3" s="1"/>
  <c r="AM38" i="3" s="1" a="1"/>
  <c r="AM38" i="3" s="1"/>
  <c r="AQ47" i="3" a="1"/>
  <c r="AQ47" i="3" s="1"/>
  <c r="AM47" i="3" s="1" a="1"/>
  <c r="AM47" i="3" s="1"/>
  <c r="AQ56" i="3" a="1"/>
  <c r="AQ56" i="3" s="1"/>
  <c r="AM56" i="3" s="1" a="1"/>
  <c r="AM56" i="3" s="1"/>
  <c r="AQ65" i="3" a="1"/>
  <c r="AQ65" i="3" s="1"/>
  <c r="AM65" i="3" s="1" a="1"/>
  <c r="AM65" i="3" s="1"/>
  <c r="AQ74" i="3" a="1"/>
  <c r="AQ74" i="3" s="1"/>
  <c r="AM74" i="3" s="1" a="1"/>
  <c r="AM74" i="3" s="1"/>
  <c r="AQ83" i="3" a="1"/>
  <c r="AQ83" i="3" s="1"/>
  <c r="AM83" i="3" s="1" a="1"/>
  <c r="AM83" i="3" s="1"/>
  <c r="AQ93" i="3" a="1"/>
  <c r="AQ93" i="3" s="1"/>
  <c r="AM93" i="3" s="1" a="1"/>
  <c r="AM93" i="3" s="1"/>
  <c r="AQ102" i="3" a="1"/>
  <c r="AQ102" i="3" s="1"/>
  <c r="AM102" i="3" s="1" a="1"/>
  <c r="AM102" i="3" s="1"/>
  <c r="AQ111" i="3" a="1"/>
  <c r="AQ111" i="3" s="1"/>
  <c r="AM111" i="3" s="1" a="1"/>
  <c r="AM111" i="3" s="1"/>
  <c r="AQ120" i="3" a="1"/>
  <c r="AQ120" i="3" s="1"/>
  <c r="AM120" i="3" s="1" a="1"/>
  <c r="AM120" i="3" s="1"/>
  <c r="K52" i="20"/>
  <c r="AH6" i="28" l="1" a="1"/>
  <c r="AH6" i="28" s="1"/>
  <c r="AH11" i="28" a="1"/>
  <c r="AH11" i="28" s="1"/>
  <c r="AH20" i="28" a="1"/>
  <c r="AH20" i="28" s="1"/>
  <c r="AH7" i="28" a="1"/>
  <c r="AH7" i="28" s="1"/>
  <c r="D63" i="20" a="1"/>
  <c r="D63" i="20" s="1"/>
  <c r="D64" i="20" a="1"/>
  <c r="D64" i="20" s="1"/>
  <c r="D72" i="20" a="1"/>
  <c r="D72" i="20" s="1"/>
  <c r="D65" i="20" a="1"/>
  <c r="D65" i="20" s="1"/>
  <c r="D68" i="20" a="1"/>
  <c r="D68" i="20" s="1"/>
  <c r="D69" i="20" a="1"/>
  <c r="D69" i="20" s="1"/>
  <c r="D70" i="20" a="1"/>
  <c r="D70" i="20" s="1"/>
  <c r="D71" i="20" a="1"/>
  <c r="D71" i="20" s="1"/>
  <c r="D73" i="20" a="1"/>
  <c r="D73" i="20" s="1"/>
  <c r="D66" i="20" a="1"/>
  <c r="D66" i="20" s="1"/>
  <c r="D67" i="20" a="1"/>
  <c r="D67" i="20" s="1"/>
  <c r="D62" i="20" a="1"/>
  <c r="D62" i="20" s="1"/>
  <c r="K70" i="20" a="1"/>
  <c r="K70" i="20" s="1"/>
  <c r="AH16" i="28" a="1"/>
  <c r="AH16" i="28" s="1"/>
  <c r="AH13" i="28" a="1"/>
  <c r="AH13" i="28" s="1"/>
  <c r="AH12" i="28" a="1"/>
  <c r="AH12" i="28" s="1"/>
  <c r="AH17" i="28" a="1"/>
  <c r="AH17" i="28" s="1"/>
  <c r="AH9" i="28" a="1"/>
  <c r="AH9" i="28" s="1"/>
  <c r="AH22" i="28" a="1"/>
  <c r="AH22" i="28" s="1"/>
  <c r="AH5" i="28" a="1"/>
  <c r="AH5" i="28" s="1"/>
  <c r="AH4" i="28" a="1"/>
  <c r="AH4" i="28" s="1"/>
  <c r="AH21" i="28" a="1"/>
  <c r="AH21" i="28" s="1"/>
  <c r="AH3" i="28" a="1"/>
  <c r="AH3" i="28" s="1"/>
  <c r="Q53" i="20"/>
  <c r="AH10" i="28" a="1"/>
  <c r="AH10" i="28" s="1"/>
  <c r="AH19" i="28" a="1"/>
  <c r="AH19" i="28" s="1"/>
  <c r="AH14" i="28" a="1"/>
  <c r="AH14" i="28" s="1"/>
  <c r="AH18" i="28" a="1"/>
  <c r="AH18" i="28" s="1"/>
  <c r="AH8" i="28" a="1"/>
  <c r="AH8" i="28" s="1"/>
  <c r="AH15" i="28" a="1"/>
  <c r="AH15" i="28" s="1"/>
  <c r="AG47" i="3"/>
  <c r="AH47" i="3" s="1" a="1"/>
  <c r="AH47" i="3" s="1"/>
  <c r="AG78" i="3"/>
  <c r="AJ78" i="3" s="1" a="1"/>
  <c r="AJ78" i="3" s="1"/>
  <c r="AG37" i="3"/>
  <c r="AJ37" i="3" s="1" a="1"/>
  <c r="AJ37" i="3" s="1"/>
  <c r="AG32" i="3"/>
  <c r="AH32" i="3" s="1" a="1"/>
  <c r="AH32" i="3" s="1"/>
  <c r="AG113" i="3"/>
  <c r="AG9" i="3"/>
  <c r="AJ9" i="3" s="1" a="1"/>
  <c r="AJ9" i="3" s="1"/>
  <c r="AG41" i="3"/>
  <c r="AG28" i="3"/>
  <c r="AH28" i="3" s="1" a="1"/>
  <c r="AH28" i="3" s="1"/>
  <c r="AG70" i="3"/>
  <c r="AG5" i="3"/>
  <c r="AG31" i="3"/>
  <c r="AG77" i="3"/>
  <c r="AG40" i="3"/>
  <c r="AG114" i="3"/>
  <c r="AG79" i="3"/>
  <c r="AG51" i="3"/>
  <c r="AG15" i="3"/>
  <c r="AJ15" i="3" s="1" a="1"/>
  <c r="AJ15" i="3" s="1"/>
  <c r="AG105" i="3"/>
  <c r="AJ105" i="3" s="1" a="1"/>
  <c r="AJ105" i="3" s="1"/>
  <c r="AG4" i="3"/>
  <c r="AJ4" i="3" s="1" a="1"/>
  <c r="AJ4" i="3" s="1"/>
  <c r="AG49" i="3"/>
  <c r="AJ49" i="3" s="1" a="1"/>
  <c r="AJ49" i="3" s="1"/>
  <c r="AG22" i="3"/>
  <c r="AG56" i="3"/>
  <c r="AJ56" i="3" s="1" a="1"/>
  <c r="AJ56" i="3" s="1"/>
  <c r="AG87" i="3"/>
  <c r="AG30" i="3"/>
  <c r="AG11" i="3"/>
  <c r="AG120" i="3"/>
  <c r="AG119" i="3"/>
  <c r="AG118" i="3"/>
  <c r="AG20" i="3"/>
  <c r="AG126" i="3"/>
  <c r="AG107" i="3"/>
  <c r="AG13" i="3"/>
  <c r="AG121" i="3"/>
  <c r="AJ121" i="3" s="1" a="1"/>
  <c r="AJ121" i="3" s="1"/>
  <c r="AG96" i="3"/>
  <c r="AJ96" i="3" s="1" a="1"/>
  <c r="AJ96" i="3" s="1"/>
  <c r="AG39" i="3"/>
  <c r="AJ39" i="3" s="1" a="1"/>
  <c r="AJ39" i="3" s="1"/>
  <c r="AG27" i="3"/>
  <c r="AH27" i="3" s="1" a="1"/>
  <c r="AH27" i="3" s="1"/>
  <c r="AG122" i="3"/>
  <c r="AG67" i="3"/>
  <c r="AJ67" i="3" s="1" a="1"/>
  <c r="AJ67" i="3" s="1"/>
  <c r="AG6" i="3"/>
  <c r="AG110" i="3"/>
  <c r="AG109" i="3"/>
  <c r="AG98" i="3"/>
  <c r="AG80" i="3"/>
  <c r="AG89" i="3"/>
  <c r="AG76" i="3"/>
  <c r="AG112" i="3"/>
  <c r="AG55" i="3"/>
  <c r="AG45" i="3"/>
  <c r="AG59" i="3"/>
  <c r="AJ59" i="3" s="1" a="1"/>
  <c r="AJ59" i="3" s="1"/>
  <c r="AG23" i="3"/>
  <c r="AH23" i="3" s="1" a="1"/>
  <c r="AH23" i="3" s="1"/>
  <c r="AG14" i="3"/>
  <c r="AG10" i="3"/>
  <c r="AG108" i="3"/>
  <c r="AG36" i="3"/>
  <c r="AJ36" i="3" s="1" a="1"/>
  <c r="AJ36" i="3" s="1"/>
  <c r="AG102" i="3"/>
  <c r="AG101" i="3"/>
  <c r="AG99" i="3"/>
  <c r="AG71" i="3"/>
  <c r="AG125" i="3"/>
  <c r="AG62" i="3"/>
  <c r="AG12" i="3"/>
  <c r="AG103" i="3"/>
  <c r="AG53" i="3"/>
  <c r="AG97" i="3"/>
  <c r="AG69" i="3"/>
  <c r="AJ69" i="3" s="1" a="1"/>
  <c r="AJ69" i="3" s="1"/>
  <c r="AG58" i="3"/>
  <c r="AG111" i="3"/>
  <c r="AG93" i="3"/>
  <c r="AG91" i="3"/>
  <c r="AG90" i="3"/>
  <c r="AG16" i="3"/>
  <c r="AG61" i="3"/>
  <c r="AG34" i="3"/>
  <c r="AG44" i="3"/>
  <c r="AG94" i="3"/>
  <c r="AG57" i="3"/>
  <c r="AG38" i="3"/>
  <c r="AG50" i="3"/>
  <c r="AG33" i="3"/>
  <c r="AG19" i="3"/>
  <c r="AG86" i="3"/>
  <c r="AG100" i="3"/>
  <c r="AG127" i="3"/>
  <c r="AG83" i="3"/>
  <c r="AJ83" i="3" s="1" a="1"/>
  <c r="AJ83" i="3" s="1"/>
  <c r="AG81" i="3"/>
  <c r="AJ81" i="3" s="1" a="1"/>
  <c r="AJ81" i="3" s="1"/>
  <c r="AG116" i="3"/>
  <c r="AJ116" i="3" s="1" a="1"/>
  <c r="AJ116" i="3" s="1"/>
  <c r="AG123" i="3"/>
  <c r="AG7" i="3"/>
  <c r="AG43" i="3"/>
  <c r="AG85" i="3"/>
  <c r="AG25" i="3"/>
  <c r="AG52" i="3"/>
  <c r="AG115" i="3"/>
  <c r="AG26" i="3"/>
  <c r="AG17" i="3"/>
  <c r="AG104" i="3"/>
  <c r="AG3" i="3"/>
  <c r="AH3" i="3" s="1" a="1"/>
  <c r="AH3" i="3" s="1"/>
  <c r="AG74" i="3"/>
  <c r="AG124" i="3"/>
  <c r="AG88" i="3"/>
  <c r="AG106" i="3"/>
  <c r="AG75" i="3"/>
  <c r="AG54" i="3"/>
  <c r="AG46" i="3"/>
  <c r="AG48" i="3"/>
  <c r="AG35" i="3"/>
  <c r="AG29" i="3"/>
  <c r="AG18" i="3"/>
  <c r="AG21" i="3"/>
  <c r="AG8" i="3"/>
  <c r="AG92" i="3"/>
  <c r="AG95" i="3"/>
  <c r="AG84" i="3"/>
  <c r="AJ84" i="3" s="1" a="1"/>
  <c r="AJ84" i="3" s="1"/>
  <c r="AG82" i="3"/>
  <c r="AH82" i="3" s="1" a="1"/>
  <c r="AH82" i="3" s="1"/>
  <c r="AG73" i="3"/>
  <c r="AJ73" i="3" s="1" a="1"/>
  <c r="AJ73" i="3" s="1"/>
  <c r="AG72" i="3"/>
  <c r="AJ72" i="3" s="1" a="1"/>
  <c r="AJ72" i="3" s="1"/>
  <c r="AG68" i="3"/>
  <c r="AG65" i="3"/>
  <c r="AG64" i="3"/>
  <c r="AG63" i="3"/>
  <c r="AG60" i="3"/>
  <c r="AG117" i="3"/>
  <c r="AG24" i="3"/>
  <c r="AG42" i="3"/>
  <c r="AG66" i="3"/>
  <c r="M66" i="20" s="1" a="1"/>
  <c r="M66" i="20" s="1"/>
  <c r="AG2" i="3"/>
  <c r="M52" i="20" s="1"/>
  <c r="F68" i="20" a="1"/>
  <c r="F68" i="20" s="1"/>
  <c r="G72" i="20" a="1"/>
  <c r="G72" i="20" s="1"/>
  <c r="F64" i="20" a="1"/>
  <c r="F64" i="20" s="1"/>
  <c r="F73" i="20" a="1"/>
  <c r="F73" i="20" s="1"/>
  <c r="H65" i="20" a="1"/>
  <c r="H65" i="20" s="1"/>
  <c r="G71" i="20" a="1"/>
  <c r="G71" i="20" s="1"/>
  <c r="G69" i="20" a="1"/>
  <c r="G69" i="20" s="1"/>
  <c r="F63" i="20" a="1"/>
  <c r="F63" i="20" s="1"/>
  <c r="H63" i="20" a="1"/>
  <c r="H63" i="20" s="1"/>
  <c r="G70" i="20" a="1"/>
  <c r="G70" i="20" s="1"/>
  <c r="H72" i="20" a="1"/>
  <c r="H72" i="20" s="1"/>
  <c r="G64" i="20" a="1"/>
  <c r="G64" i="20" s="1"/>
  <c r="K71" i="20" a="1"/>
  <c r="K71" i="20" s="1"/>
  <c r="K65" i="20" a="1"/>
  <c r="K65" i="20" s="1"/>
  <c r="F69" i="20" a="1"/>
  <c r="F69" i="20" s="1"/>
  <c r="K63" i="20" a="1"/>
  <c r="K63" i="20" s="1"/>
  <c r="H73" i="20" a="1"/>
  <c r="H73" i="20" s="1"/>
  <c r="K67" i="20" a="1"/>
  <c r="K67" i="20" s="1"/>
  <c r="H69" i="20" a="1"/>
  <c r="H69" i="20" s="1"/>
  <c r="G63" i="20" a="1"/>
  <c r="G63" i="20" s="1"/>
  <c r="F72" i="20" a="1"/>
  <c r="F72" i="20" s="1"/>
  <c r="K64" i="20" a="1"/>
  <c r="K64" i="20" s="1"/>
  <c r="F66" i="20" a="1"/>
  <c r="F66" i="20" s="1"/>
  <c r="G68" i="20" a="1"/>
  <c r="G68" i="20" s="1"/>
  <c r="H70" i="20" a="1"/>
  <c r="H70" i="20" s="1"/>
  <c r="H64" i="20" a="1"/>
  <c r="H64" i="20" s="1"/>
  <c r="G65" i="20" a="1"/>
  <c r="G65" i="20" s="1"/>
  <c r="G73" i="20" a="1"/>
  <c r="G73" i="20" s="1"/>
  <c r="G67" i="20" a="1"/>
  <c r="G67" i="20" s="1"/>
  <c r="F70" i="20" a="1"/>
  <c r="F70" i="20" s="1"/>
  <c r="H68" i="20" a="1"/>
  <c r="H68" i="20" s="1"/>
  <c r="K68" i="20" a="1"/>
  <c r="K68" i="20" s="1"/>
  <c r="K73" i="20" a="1"/>
  <c r="K73" i="20" s="1"/>
  <c r="F67" i="20" a="1"/>
  <c r="F67" i="20" s="1"/>
  <c r="H71" i="20" a="1"/>
  <c r="H71" i="20" s="1"/>
  <c r="K69" i="20" a="1"/>
  <c r="K69" i="20" s="1"/>
  <c r="G66" i="20" a="1"/>
  <c r="G66" i="20" s="1"/>
  <c r="F65" i="20" a="1"/>
  <c r="F65" i="20" s="1"/>
  <c r="H66" i="20" a="1"/>
  <c r="H66" i="20" s="1"/>
  <c r="F71" i="20" a="1"/>
  <c r="F71" i="20" s="1"/>
  <c r="K72" i="20" a="1"/>
  <c r="K72" i="20" s="1"/>
  <c r="H67" i="20" a="1"/>
  <c r="H67" i="20" s="1"/>
  <c r="K66" i="20" a="1"/>
  <c r="K66" i="20" s="1"/>
  <c r="AG6" i="28"/>
  <c r="AG7" i="28"/>
  <c r="AG19" i="28"/>
  <c r="AG21" i="28"/>
  <c r="AG10" i="28"/>
  <c r="AG15" i="28"/>
  <c r="AG17" i="28"/>
  <c r="AG18" i="28"/>
  <c r="AG20" i="28"/>
  <c r="AG4" i="28"/>
  <c r="AG13" i="28"/>
  <c r="AG9" i="28"/>
  <c r="AG22" i="28"/>
  <c r="AG12" i="28"/>
  <c r="AG8" i="28"/>
  <c r="AG11" i="28"/>
  <c r="AG3" i="28"/>
  <c r="AG14" i="28"/>
  <c r="AG16" i="28"/>
  <c r="AG5" i="28"/>
  <c r="AG2" i="28"/>
  <c r="AS4" i="3"/>
  <c r="AS109" i="3"/>
  <c r="AS6" i="3"/>
  <c r="AS116" i="3"/>
  <c r="AS55" i="3"/>
  <c r="AS84" i="3"/>
  <c r="AS46" i="3"/>
  <c r="AS97" i="3"/>
  <c r="AS52" i="3"/>
  <c r="AS115" i="3"/>
  <c r="AS34" i="3"/>
  <c r="AS127" i="3"/>
  <c r="AS22" i="3"/>
  <c r="AS78" i="3"/>
  <c r="AS56" i="3"/>
  <c r="AS27" i="3"/>
  <c r="AS33" i="3"/>
  <c r="AS30" i="3"/>
  <c r="AS107" i="3"/>
  <c r="AS59" i="3"/>
  <c r="AS28" i="3"/>
  <c r="AS119" i="3"/>
  <c r="AS13" i="3"/>
  <c r="AS31" i="3"/>
  <c r="AS40" i="3"/>
  <c r="AS25" i="3"/>
  <c r="AS57" i="3"/>
  <c r="AS70" i="3"/>
  <c r="AS89" i="3"/>
  <c r="AS71" i="3"/>
  <c r="AS125" i="3"/>
  <c r="AS12" i="3"/>
  <c r="AS103" i="3"/>
  <c r="AS48" i="3"/>
  <c r="AS51" i="3"/>
  <c r="AS54" i="3"/>
  <c r="AS53" i="3"/>
  <c r="AS114" i="3"/>
  <c r="AS96" i="3"/>
  <c r="AS45" i="3"/>
  <c r="AS87" i="3"/>
  <c r="AS73" i="3"/>
  <c r="AS37" i="3"/>
  <c r="AS29" i="3"/>
  <c r="AS26" i="3"/>
  <c r="AS32" i="3"/>
  <c r="AS23" i="3"/>
  <c r="AS38" i="3"/>
  <c r="AS19" i="3"/>
  <c r="AS17" i="3"/>
  <c r="AS15" i="3"/>
  <c r="AS69" i="3"/>
  <c r="AS14" i="3"/>
  <c r="AS123" i="3"/>
  <c r="AS63" i="3"/>
  <c r="AS9" i="3"/>
  <c r="AS122" i="3"/>
  <c r="AS11" i="3"/>
  <c r="AS7" i="3"/>
  <c r="AS35" i="3"/>
  <c r="AS50" i="3"/>
  <c r="AS100" i="3"/>
  <c r="AS108" i="3"/>
  <c r="AS41" i="3"/>
  <c r="AS58" i="3"/>
  <c r="AS3" i="3"/>
  <c r="AS112" i="3"/>
  <c r="AS62" i="3"/>
  <c r="AS44" i="3"/>
  <c r="AS82" i="3"/>
  <c r="AS124" i="3"/>
  <c r="AS88" i="3"/>
  <c r="AS66" i="3"/>
  <c r="AS90" i="3"/>
  <c r="AS16" i="3"/>
  <c r="AS95" i="3"/>
  <c r="AS120" i="3"/>
  <c r="AS20" i="3"/>
  <c r="AS126" i="3"/>
  <c r="AS67" i="3"/>
  <c r="AS98" i="3"/>
  <c r="AS80" i="3"/>
  <c r="AS102" i="3"/>
  <c r="AS61" i="3"/>
  <c r="AS92" i="3"/>
  <c r="AS5" i="3"/>
  <c r="AS117" i="3"/>
  <c r="AS47" i="3"/>
  <c r="AS39" i="3"/>
  <c r="AS18" i="3"/>
  <c r="AS113" i="3"/>
  <c r="AS21" i="3"/>
  <c r="AS10" i="3"/>
  <c r="AS8" i="3"/>
  <c r="AS105" i="3"/>
  <c r="AS104" i="3"/>
  <c r="AS86" i="3"/>
  <c r="AS2" i="3"/>
  <c r="AS49" i="3"/>
  <c r="AS118" i="3"/>
  <c r="AS121" i="3"/>
  <c r="AS36" i="3"/>
  <c r="AS110" i="3"/>
  <c r="AS76" i="3"/>
  <c r="AS111" i="3"/>
  <c r="AS101" i="3"/>
  <c r="AS99" i="3"/>
  <c r="AS79" i="3"/>
  <c r="AS93" i="3"/>
  <c r="AS91" i="3"/>
  <c r="AS94" i="3"/>
  <c r="AS83" i="3"/>
  <c r="AS81" i="3"/>
  <c r="AS43" i="3"/>
  <c r="AS85" i="3"/>
  <c r="AS74" i="3"/>
  <c r="AS72" i="3"/>
  <c r="AS68" i="3"/>
  <c r="AS106" i="3"/>
  <c r="AS75" i="3"/>
  <c r="AS77" i="3"/>
  <c r="AS65" i="3"/>
  <c r="AS64" i="3"/>
  <c r="AS60" i="3"/>
  <c r="AS24" i="3"/>
  <c r="AS42" i="3"/>
  <c r="F62" i="20" a="1"/>
  <c r="F62" i="20" s="1"/>
  <c r="H62" i="20" a="1"/>
  <c r="H62" i="20" s="1"/>
  <c r="G62" i="20" a="1"/>
  <c r="G62" i="20" s="1"/>
  <c r="K62" i="20" a="1"/>
  <c r="K62" i="20" s="1"/>
  <c r="AP2" i="3"/>
  <c r="AY77" i="3"/>
  <c r="BD77" i="3" s="1"/>
  <c r="AZ77" i="3"/>
  <c r="BE77" i="3" s="1"/>
  <c r="AY120" i="3"/>
  <c r="BD120" i="3" s="1"/>
  <c r="AZ120" i="3"/>
  <c r="BE120" i="3" s="1"/>
  <c r="AY13" i="3"/>
  <c r="BD13" i="3" s="1"/>
  <c r="AZ13" i="3"/>
  <c r="BE13" i="3" s="1"/>
  <c r="AY80" i="3"/>
  <c r="BD80" i="3" s="1"/>
  <c r="AZ80" i="3"/>
  <c r="BE80" i="3" s="1"/>
  <c r="AZ71" i="3"/>
  <c r="BE71" i="3" s="1"/>
  <c r="AY71" i="3"/>
  <c r="BD71" i="3" s="1"/>
  <c r="AY16" i="3"/>
  <c r="BD16" i="3" s="1"/>
  <c r="AZ16" i="3"/>
  <c r="BE16" i="3" s="1"/>
  <c r="AY31" i="3"/>
  <c r="BD31" i="3" s="1"/>
  <c r="AZ31" i="3"/>
  <c r="BE31" i="3" s="1"/>
  <c r="AZ22" i="3"/>
  <c r="BE22" i="3" s="1"/>
  <c r="AY22" i="3"/>
  <c r="BD22" i="3" s="1"/>
  <c r="AY20" i="3"/>
  <c r="BD20" i="3" s="1"/>
  <c r="AZ20" i="3"/>
  <c r="BE20" i="3" s="1"/>
  <c r="AY62" i="3"/>
  <c r="BD62" i="3" s="1"/>
  <c r="AZ62" i="3"/>
  <c r="BE62" i="3" s="1"/>
  <c r="AY82" i="3"/>
  <c r="BD82" i="3" s="1"/>
  <c r="AZ82" i="3"/>
  <c r="BE82" i="3" s="1"/>
  <c r="AY85" i="3"/>
  <c r="BD85" i="3" s="1"/>
  <c r="AZ85" i="3"/>
  <c r="BE85" i="3" s="1"/>
  <c r="AY124" i="3"/>
  <c r="BD124" i="3" s="1"/>
  <c r="AZ124" i="3"/>
  <c r="BE124" i="3" s="1"/>
  <c r="AY65" i="3"/>
  <c r="BD65" i="3" s="1"/>
  <c r="AZ65" i="3"/>
  <c r="BE65" i="3" s="1"/>
  <c r="AY64" i="3"/>
  <c r="BD64" i="3" s="1"/>
  <c r="AZ64" i="3"/>
  <c r="BE64" i="3" s="1"/>
  <c r="AY63" i="3"/>
  <c r="BD63" i="3" s="1"/>
  <c r="AZ63" i="3"/>
  <c r="BE63" i="3" s="1"/>
  <c r="AY60" i="3"/>
  <c r="BD60" i="3" s="1"/>
  <c r="AZ60" i="3"/>
  <c r="BE60" i="3" s="1"/>
  <c r="AY117" i="3"/>
  <c r="BD117" i="3" s="1"/>
  <c r="AZ117" i="3"/>
  <c r="BE117" i="3" s="1"/>
  <c r="AY24" i="3"/>
  <c r="BD24" i="3" s="1"/>
  <c r="AZ24" i="3"/>
  <c r="BE24" i="3" s="1"/>
  <c r="AZ42" i="3"/>
  <c r="BE42" i="3" s="1"/>
  <c r="AY42" i="3"/>
  <c r="BD42" i="3" s="1"/>
  <c r="AZ66" i="3"/>
  <c r="BE66" i="3" s="1"/>
  <c r="AY66" i="3"/>
  <c r="BD66" i="3" s="1"/>
  <c r="AY40" i="3"/>
  <c r="BD40" i="3" s="1"/>
  <c r="AZ40" i="3"/>
  <c r="BE40" i="3" s="1"/>
  <c r="AZ126" i="3"/>
  <c r="BE126" i="3" s="1"/>
  <c r="AY126" i="3"/>
  <c r="BD126" i="3" s="1"/>
  <c r="AY98" i="3"/>
  <c r="BD98" i="3" s="1"/>
  <c r="AZ98" i="3"/>
  <c r="BE98" i="3" s="1"/>
  <c r="AY103" i="3"/>
  <c r="BD103" i="3" s="1"/>
  <c r="AZ103" i="3"/>
  <c r="BE103" i="3" s="1"/>
  <c r="AY93" i="3"/>
  <c r="BD93" i="3" s="1"/>
  <c r="AZ93" i="3"/>
  <c r="BE93" i="3" s="1"/>
  <c r="AY123" i="3"/>
  <c r="BD123" i="3" s="1"/>
  <c r="AZ123" i="3"/>
  <c r="BE123" i="3" s="1"/>
  <c r="AY68" i="3"/>
  <c r="BD68" i="3" s="1"/>
  <c r="AZ68" i="3"/>
  <c r="BE68" i="3" s="1"/>
  <c r="AY56" i="3"/>
  <c r="BD56" i="3" s="1"/>
  <c r="AZ56" i="3"/>
  <c r="BE56" i="3" s="1"/>
  <c r="AY55" i="3"/>
  <c r="BD55" i="3" s="1"/>
  <c r="AZ55" i="3"/>
  <c r="BE55" i="3" s="1"/>
  <c r="AZ54" i="3"/>
  <c r="BE54" i="3" s="1"/>
  <c r="AY54" i="3"/>
  <c r="BD54" i="3" s="1"/>
  <c r="AY53" i="3"/>
  <c r="BD53" i="3" s="1"/>
  <c r="AZ53" i="3"/>
  <c r="BE53" i="3" s="1"/>
  <c r="AY25" i="3"/>
  <c r="BD25" i="3" s="1"/>
  <c r="AZ25" i="3"/>
  <c r="BE25" i="3" s="1"/>
  <c r="AY114" i="3"/>
  <c r="BD114" i="3" s="1"/>
  <c r="AZ114" i="3"/>
  <c r="BE114" i="3" s="1"/>
  <c r="AY96" i="3"/>
  <c r="BD96" i="3" s="1"/>
  <c r="AZ96" i="3"/>
  <c r="BE96" i="3" s="1"/>
  <c r="AY57" i="3"/>
  <c r="BD57" i="3" s="1"/>
  <c r="AZ57" i="3"/>
  <c r="BE57" i="3" s="1"/>
  <c r="AZ70" i="3"/>
  <c r="BE70" i="3" s="1"/>
  <c r="AY70" i="3"/>
  <c r="BD70" i="3" s="1"/>
  <c r="AZ127" i="3"/>
  <c r="BE127" i="3" s="1"/>
  <c r="AY127" i="3"/>
  <c r="BD127" i="3" s="1"/>
  <c r="AY112" i="3"/>
  <c r="BD112" i="3" s="1"/>
  <c r="AZ112" i="3"/>
  <c r="BE112" i="3" s="1"/>
  <c r="AZ34" i="3"/>
  <c r="BE34" i="3" s="1"/>
  <c r="AY34" i="3"/>
  <c r="BD34" i="3" s="1"/>
  <c r="AY81" i="3"/>
  <c r="BD81" i="3" s="1"/>
  <c r="AZ81" i="3"/>
  <c r="BE81" i="3" s="1"/>
  <c r="AY72" i="3"/>
  <c r="BD72" i="3" s="1"/>
  <c r="AZ72" i="3"/>
  <c r="BE72" i="3" s="1"/>
  <c r="AZ47" i="3"/>
  <c r="BE47" i="3" s="1"/>
  <c r="AY47" i="3"/>
  <c r="BD47" i="3" s="1"/>
  <c r="AZ46" i="3"/>
  <c r="BE46" i="3" s="1"/>
  <c r="AY46" i="3"/>
  <c r="BD46" i="3" s="1"/>
  <c r="AY45" i="3"/>
  <c r="BD45" i="3" s="1"/>
  <c r="AZ45" i="3"/>
  <c r="BE45" i="3" s="1"/>
  <c r="AY97" i="3"/>
  <c r="BD97" i="3" s="1"/>
  <c r="AZ97" i="3"/>
  <c r="BE97" i="3" s="1"/>
  <c r="AY52" i="3"/>
  <c r="BD52" i="3" s="1"/>
  <c r="AZ52" i="3"/>
  <c r="BE52" i="3" s="1"/>
  <c r="AZ87" i="3"/>
  <c r="BE87" i="3" s="1"/>
  <c r="AY87" i="3"/>
  <c r="BD87" i="3" s="1"/>
  <c r="AZ78" i="3"/>
  <c r="BE78" i="3" s="1"/>
  <c r="AY78" i="3"/>
  <c r="BD78" i="3" s="1"/>
  <c r="AY48" i="3"/>
  <c r="BD48" i="3" s="1"/>
  <c r="AZ48" i="3"/>
  <c r="BE48" i="3" s="1"/>
  <c r="AY28" i="3"/>
  <c r="BD28" i="3" s="1"/>
  <c r="AZ28" i="3"/>
  <c r="BE28" i="3" s="1"/>
  <c r="AY84" i="3"/>
  <c r="BD84" i="3" s="1"/>
  <c r="AZ84" i="3"/>
  <c r="BE84" i="3" s="1"/>
  <c r="AY89" i="3"/>
  <c r="BD89" i="3" s="1"/>
  <c r="AZ89" i="3"/>
  <c r="BE89" i="3" s="1"/>
  <c r="AY12" i="3"/>
  <c r="BD12" i="3" s="1"/>
  <c r="AZ12" i="3"/>
  <c r="BE12" i="3" s="1"/>
  <c r="AY91" i="3"/>
  <c r="BD91" i="3" s="1"/>
  <c r="AZ91" i="3"/>
  <c r="BE91" i="3" s="1"/>
  <c r="AY7" i="3"/>
  <c r="BD7" i="3" s="1"/>
  <c r="AZ7" i="3"/>
  <c r="BE7" i="3" s="1"/>
  <c r="AZ74" i="3"/>
  <c r="BE74" i="3" s="1"/>
  <c r="AY74" i="3"/>
  <c r="BD74" i="3" s="1"/>
  <c r="AY37" i="3"/>
  <c r="BD37" i="3" s="1"/>
  <c r="AZ37" i="3"/>
  <c r="BE37" i="3" s="1"/>
  <c r="AY35" i="3"/>
  <c r="BD35" i="3" s="1"/>
  <c r="AZ35" i="3"/>
  <c r="BE35" i="3" s="1"/>
  <c r="AZ79" i="3"/>
  <c r="BE79" i="3" s="1"/>
  <c r="AY79" i="3"/>
  <c r="BD79" i="3" s="1"/>
  <c r="AY115" i="3"/>
  <c r="BD115" i="3" s="1"/>
  <c r="AZ115" i="3"/>
  <c r="BE115" i="3" s="1"/>
  <c r="AY59" i="3"/>
  <c r="BD59" i="3" s="1"/>
  <c r="AZ59" i="3"/>
  <c r="BE59" i="3" s="1"/>
  <c r="AZ50" i="3"/>
  <c r="BE50" i="3" s="1"/>
  <c r="AY50" i="3"/>
  <c r="BD50" i="3" s="1"/>
  <c r="AY39" i="3"/>
  <c r="BD39" i="3" s="1"/>
  <c r="AZ39" i="3"/>
  <c r="BE39" i="3" s="1"/>
  <c r="AZ119" i="3"/>
  <c r="BE119" i="3" s="1"/>
  <c r="AY119" i="3"/>
  <c r="BD119" i="3" s="1"/>
  <c r="AY76" i="3"/>
  <c r="BD76" i="3" s="1"/>
  <c r="AZ76" i="3"/>
  <c r="BE76" i="3" s="1"/>
  <c r="AY99" i="3"/>
  <c r="BD99" i="3" s="1"/>
  <c r="AZ99" i="3"/>
  <c r="BE99" i="3" s="1"/>
  <c r="AY44" i="3"/>
  <c r="BD44" i="3" s="1"/>
  <c r="AZ44" i="3"/>
  <c r="BE44" i="3" s="1"/>
  <c r="AY83" i="3"/>
  <c r="BD83" i="3" s="1"/>
  <c r="AZ83" i="3"/>
  <c r="BE83" i="3" s="1"/>
  <c r="AY75" i="3"/>
  <c r="BD75" i="3" s="1"/>
  <c r="AZ75" i="3"/>
  <c r="BE75" i="3" s="1"/>
  <c r="AY38" i="3"/>
  <c r="BD38" i="3" s="1"/>
  <c r="AZ38" i="3"/>
  <c r="BE38" i="3" s="1"/>
  <c r="AY29" i="3"/>
  <c r="BD29" i="3" s="1"/>
  <c r="AZ29" i="3"/>
  <c r="BE29" i="3" s="1"/>
  <c r="AY27" i="3"/>
  <c r="BD27" i="3" s="1"/>
  <c r="AZ27" i="3"/>
  <c r="BE27" i="3" s="1"/>
  <c r="AZ26" i="3"/>
  <c r="BE26" i="3" s="1"/>
  <c r="AY26" i="3"/>
  <c r="BD26" i="3" s="1"/>
  <c r="AY51" i="3"/>
  <c r="BD51" i="3" s="1"/>
  <c r="AZ51" i="3"/>
  <c r="BE51" i="3" s="1"/>
  <c r="AY33" i="3"/>
  <c r="BD33" i="3" s="1"/>
  <c r="AZ33" i="3"/>
  <c r="BE33" i="3" s="1"/>
  <c r="AY32" i="3"/>
  <c r="BD32" i="3" s="1"/>
  <c r="AZ32" i="3"/>
  <c r="BE32" i="3" s="1"/>
  <c r="AZ23" i="3"/>
  <c r="BE23" i="3" s="1"/>
  <c r="AY23" i="3"/>
  <c r="BD23" i="3" s="1"/>
  <c r="AZ30" i="3"/>
  <c r="BE30" i="3" s="1"/>
  <c r="AY30" i="3"/>
  <c r="BD30" i="3" s="1"/>
  <c r="AY36" i="3"/>
  <c r="BD36" i="3" s="1"/>
  <c r="AZ36" i="3"/>
  <c r="BE36" i="3" s="1"/>
  <c r="AY4" i="3"/>
  <c r="BD4" i="3" s="1"/>
  <c r="AZ4" i="3"/>
  <c r="BE4" i="3" s="1"/>
  <c r="AY107" i="3"/>
  <c r="BD107" i="3" s="1"/>
  <c r="AZ107" i="3"/>
  <c r="BE107" i="3" s="1"/>
  <c r="AY109" i="3"/>
  <c r="BD109" i="3" s="1"/>
  <c r="AZ109" i="3"/>
  <c r="BE109" i="3" s="1"/>
  <c r="AY125" i="3"/>
  <c r="BD125" i="3" s="1"/>
  <c r="AZ125" i="3"/>
  <c r="BE125" i="3" s="1"/>
  <c r="AZ94" i="3"/>
  <c r="BE94" i="3" s="1"/>
  <c r="AY94" i="3"/>
  <c r="BD94" i="3" s="1"/>
  <c r="AY116" i="3"/>
  <c r="BD116" i="3" s="1"/>
  <c r="AZ116" i="3"/>
  <c r="BE116" i="3" s="1"/>
  <c r="AY88" i="3"/>
  <c r="BD88" i="3" s="1"/>
  <c r="AZ88" i="3"/>
  <c r="BE88" i="3" s="1"/>
  <c r="AY19" i="3"/>
  <c r="BD19" i="3" s="1"/>
  <c r="AZ19" i="3"/>
  <c r="BE19" i="3" s="1"/>
  <c r="AZ18" i="3"/>
  <c r="BE18" i="3" s="1"/>
  <c r="AY18" i="3"/>
  <c r="BD18" i="3" s="1"/>
  <c r="AY17" i="3"/>
  <c r="BD17" i="3" s="1"/>
  <c r="AZ17" i="3"/>
  <c r="BE17" i="3" s="1"/>
  <c r="AZ15" i="3"/>
  <c r="BE15" i="3" s="1"/>
  <c r="AY15" i="3"/>
  <c r="BD15" i="3" s="1"/>
  <c r="AY69" i="3"/>
  <c r="BD69" i="3" s="1"/>
  <c r="AZ69" i="3"/>
  <c r="BE69" i="3" s="1"/>
  <c r="AZ14" i="3"/>
  <c r="BE14" i="3" s="1"/>
  <c r="AY14" i="3"/>
  <c r="BD14" i="3" s="1"/>
  <c r="AY113" i="3"/>
  <c r="BD113" i="3" s="1"/>
  <c r="AZ113" i="3"/>
  <c r="BE113" i="3" s="1"/>
  <c r="AY21" i="3"/>
  <c r="BD21" i="3" s="1"/>
  <c r="AZ21" i="3"/>
  <c r="BE21" i="3" s="1"/>
  <c r="AZ6" i="3"/>
  <c r="BE6" i="3" s="1"/>
  <c r="AY6" i="3"/>
  <c r="BD6" i="3" s="1"/>
  <c r="AY121" i="3"/>
  <c r="BD121" i="3" s="1"/>
  <c r="AZ121" i="3"/>
  <c r="BE121" i="3" s="1"/>
  <c r="AZ110" i="3"/>
  <c r="BE110" i="3" s="1"/>
  <c r="AY110" i="3"/>
  <c r="BD110" i="3" s="1"/>
  <c r="AY101" i="3"/>
  <c r="BD101" i="3" s="1"/>
  <c r="AZ101" i="3"/>
  <c r="BE101" i="3" s="1"/>
  <c r="AZ90" i="3"/>
  <c r="BE90" i="3" s="1"/>
  <c r="AY90" i="3"/>
  <c r="BD90" i="3" s="1"/>
  <c r="AY43" i="3"/>
  <c r="BD43" i="3" s="1"/>
  <c r="AZ43" i="3"/>
  <c r="BE43" i="3" s="1"/>
  <c r="AY73" i="3"/>
  <c r="BD73" i="3" s="1"/>
  <c r="AZ73" i="3"/>
  <c r="BE73" i="3" s="1"/>
  <c r="AY106" i="3"/>
  <c r="BD106" i="3" s="1"/>
  <c r="AZ106" i="3"/>
  <c r="BE106" i="3" s="1"/>
  <c r="AY10" i="3"/>
  <c r="BD10" i="3" s="1"/>
  <c r="AZ10" i="3"/>
  <c r="BE10" i="3" s="1"/>
  <c r="AY9" i="3"/>
  <c r="BD9" i="3" s="1"/>
  <c r="AZ9" i="3"/>
  <c r="BE9" i="3" s="1"/>
  <c r="AY8" i="3"/>
  <c r="BD8" i="3" s="1"/>
  <c r="AZ8" i="3"/>
  <c r="BE8" i="3" s="1"/>
  <c r="AY105" i="3"/>
  <c r="BD105" i="3" s="1"/>
  <c r="AZ105" i="3"/>
  <c r="BE105" i="3" s="1"/>
  <c r="AY104" i="3"/>
  <c r="BD104" i="3" s="1"/>
  <c r="AZ104" i="3"/>
  <c r="BE104" i="3" s="1"/>
  <c r="AZ122" i="3"/>
  <c r="BE122" i="3" s="1"/>
  <c r="AY122" i="3"/>
  <c r="BD122" i="3" s="1"/>
  <c r="AZ86" i="3"/>
  <c r="BE86" i="3" s="1"/>
  <c r="AY86" i="3"/>
  <c r="BD86" i="3" s="1"/>
  <c r="AY11" i="3"/>
  <c r="BD11" i="3" s="1"/>
  <c r="AZ11" i="3"/>
  <c r="BE11" i="3" s="1"/>
  <c r="AY5" i="3"/>
  <c r="BD5" i="3" s="1"/>
  <c r="AZ5" i="3"/>
  <c r="BE5" i="3" s="1"/>
  <c r="AY49" i="3"/>
  <c r="BD49" i="3" s="1"/>
  <c r="AZ49" i="3"/>
  <c r="BE49" i="3" s="1"/>
  <c r="AY118" i="3"/>
  <c r="BD118" i="3" s="1"/>
  <c r="AZ118" i="3"/>
  <c r="BE118" i="3" s="1"/>
  <c r="AY111" i="3"/>
  <c r="BD111" i="3" s="1"/>
  <c r="AZ111" i="3"/>
  <c r="BE111" i="3" s="1"/>
  <c r="AZ102" i="3"/>
  <c r="BE102" i="3" s="1"/>
  <c r="AY102" i="3"/>
  <c r="BD102" i="3" s="1"/>
  <c r="AY61" i="3"/>
  <c r="BD61" i="3" s="1"/>
  <c r="AZ61" i="3"/>
  <c r="BE61" i="3" s="1"/>
  <c r="AY92" i="3"/>
  <c r="BD92" i="3" s="1"/>
  <c r="AZ92" i="3"/>
  <c r="BE92" i="3" s="1"/>
  <c r="AY100" i="3"/>
  <c r="BD100" i="3" s="1"/>
  <c r="AZ100" i="3"/>
  <c r="BE100" i="3" s="1"/>
  <c r="AY108" i="3"/>
  <c r="BD108" i="3" s="1"/>
  <c r="AZ108" i="3"/>
  <c r="BE108" i="3" s="1"/>
  <c r="AY41" i="3"/>
  <c r="BD41" i="3" s="1"/>
  <c r="AZ41" i="3"/>
  <c r="BE41" i="3" s="1"/>
  <c r="AY67" i="3"/>
  <c r="BD67" i="3" s="1"/>
  <c r="AZ67" i="3"/>
  <c r="BE67" i="3" s="1"/>
  <c r="AY95" i="3"/>
  <c r="BD95" i="3" s="1"/>
  <c r="AZ95" i="3"/>
  <c r="BE95" i="3" s="1"/>
  <c r="AZ58" i="3"/>
  <c r="BE58" i="3" s="1"/>
  <c r="AY58" i="3"/>
  <c r="BD58" i="3" s="1"/>
  <c r="AY3" i="3"/>
  <c r="BD3" i="3" s="1"/>
  <c r="AZ3" i="3"/>
  <c r="BE3" i="3" s="1"/>
  <c r="AY2" i="3"/>
  <c r="BD2" i="3" s="1"/>
  <c r="AZ2" i="3"/>
  <c r="BE2" i="3" s="1"/>
  <c r="AX70" i="3"/>
  <c r="BC70" i="3" s="1"/>
  <c r="AW70" i="3"/>
  <c r="BB70" i="3" s="1"/>
  <c r="AW31" i="3"/>
  <c r="BB31" i="3" s="1"/>
  <c r="AX31" i="3"/>
  <c r="BC31" i="3" s="1"/>
  <c r="AW77" i="3"/>
  <c r="BB77" i="3" s="1"/>
  <c r="AX77" i="3"/>
  <c r="BC77" i="3" s="1"/>
  <c r="AW49" i="3"/>
  <c r="BB49" i="3" s="1"/>
  <c r="AX49" i="3"/>
  <c r="BC49" i="3" s="1"/>
  <c r="AW119" i="3"/>
  <c r="BB119" i="3" s="1"/>
  <c r="AX119" i="3"/>
  <c r="BC119" i="3" s="1"/>
  <c r="AW121" i="3"/>
  <c r="BB121" i="3" s="1"/>
  <c r="AX121" i="3"/>
  <c r="BC121" i="3" s="1"/>
  <c r="AW89" i="3"/>
  <c r="BB89" i="3" s="1"/>
  <c r="AX89" i="3"/>
  <c r="BC89" i="3" s="1"/>
  <c r="AX102" i="3"/>
  <c r="BC102" i="3" s="1"/>
  <c r="AW102" i="3"/>
  <c r="BB102" i="3" s="1"/>
  <c r="AW101" i="3"/>
  <c r="BB101" i="3" s="1"/>
  <c r="AX101" i="3"/>
  <c r="BC101" i="3" s="1"/>
  <c r="AW99" i="3"/>
  <c r="BB99" i="3" s="1"/>
  <c r="AX99" i="3"/>
  <c r="BC99" i="3" s="1"/>
  <c r="AW71" i="3"/>
  <c r="BB71" i="3" s="1"/>
  <c r="AX71" i="3"/>
  <c r="BC71" i="3" s="1"/>
  <c r="AW125" i="3"/>
  <c r="BB125" i="3" s="1"/>
  <c r="AX125" i="3"/>
  <c r="BC125" i="3" s="1"/>
  <c r="AX62" i="3"/>
  <c r="BC62" i="3" s="1"/>
  <c r="AW62" i="3"/>
  <c r="BB62" i="3" s="1"/>
  <c r="AW12" i="3"/>
  <c r="BB12" i="3" s="1"/>
  <c r="AX12" i="3"/>
  <c r="BC12" i="3" s="1"/>
  <c r="AW103" i="3"/>
  <c r="BB103" i="3" s="1"/>
  <c r="AX103" i="3"/>
  <c r="BC103" i="3" s="1"/>
  <c r="AW93" i="3"/>
  <c r="BB93" i="3" s="1"/>
  <c r="AX93" i="3"/>
  <c r="BC93" i="3" s="1"/>
  <c r="AW91" i="3"/>
  <c r="BB91" i="3" s="1"/>
  <c r="AX91" i="3"/>
  <c r="BC91" i="3" s="1"/>
  <c r="AW90" i="3"/>
  <c r="BB90" i="3" s="1"/>
  <c r="AX90" i="3"/>
  <c r="BC90" i="3" s="1"/>
  <c r="AW16" i="3"/>
  <c r="BB16" i="3" s="1"/>
  <c r="AX16" i="3"/>
  <c r="BC16" i="3" s="1"/>
  <c r="AW61" i="3"/>
  <c r="BB61" i="3" s="1"/>
  <c r="AX61" i="3"/>
  <c r="BC61" i="3" s="1"/>
  <c r="AW34" i="3"/>
  <c r="BB34" i="3" s="1"/>
  <c r="AX34" i="3"/>
  <c r="BC34" i="3" s="1"/>
  <c r="AW44" i="3"/>
  <c r="BB44" i="3" s="1"/>
  <c r="AX44" i="3"/>
  <c r="BC44" i="3" s="1"/>
  <c r="AX94" i="3"/>
  <c r="BC94" i="3" s="1"/>
  <c r="AW94" i="3"/>
  <c r="BB94" i="3" s="1"/>
  <c r="AW40" i="3"/>
  <c r="BB40" i="3" s="1"/>
  <c r="AX40" i="3"/>
  <c r="BC40" i="3" s="1"/>
  <c r="AW84" i="3"/>
  <c r="BB84" i="3" s="1"/>
  <c r="AX84" i="3"/>
  <c r="BC84" i="3" s="1"/>
  <c r="AW20" i="3"/>
  <c r="BB20" i="3" s="1"/>
  <c r="AX20" i="3"/>
  <c r="BC20" i="3" s="1"/>
  <c r="AW123" i="3"/>
  <c r="BB123" i="3" s="1"/>
  <c r="AX123" i="3"/>
  <c r="BC123" i="3" s="1"/>
  <c r="AW72" i="3"/>
  <c r="BB72" i="3" s="1"/>
  <c r="AX72" i="3"/>
  <c r="BC72" i="3" s="1"/>
  <c r="AW65" i="3"/>
  <c r="BB65" i="3" s="1"/>
  <c r="AX65" i="3"/>
  <c r="BC65" i="3" s="1"/>
  <c r="AW64" i="3"/>
  <c r="BB64" i="3" s="1"/>
  <c r="AX64" i="3"/>
  <c r="BC64" i="3" s="1"/>
  <c r="AW63" i="3"/>
  <c r="BB63" i="3" s="1"/>
  <c r="AX63" i="3"/>
  <c r="BC63" i="3" s="1"/>
  <c r="AW60" i="3"/>
  <c r="BB60" i="3" s="1"/>
  <c r="AX60" i="3"/>
  <c r="BC60" i="3" s="1"/>
  <c r="AW117" i="3"/>
  <c r="BB117" i="3" s="1"/>
  <c r="AX117" i="3"/>
  <c r="BC117" i="3" s="1"/>
  <c r="AW24" i="3"/>
  <c r="BB24" i="3" s="1"/>
  <c r="AX24" i="3"/>
  <c r="BC24" i="3" s="1"/>
  <c r="AW42" i="3"/>
  <c r="BB42" i="3" s="1"/>
  <c r="AX42" i="3"/>
  <c r="BC42" i="3" s="1"/>
  <c r="AW66" i="3"/>
  <c r="BB66" i="3" s="1"/>
  <c r="AX66" i="3"/>
  <c r="BC66" i="3" s="1"/>
  <c r="AW13" i="3"/>
  <c r="BB13" i="3" s="1"/>
  <c r="AX13" i="3"/>
  <c r="BC13" i="3" s="1"/>
  <c r="AW98" i="3"/>
  <c r="BB98" i="3" s="1"/>
  <c r="AX98" i="3"/>
  <c r="BC98" i="3" s="1"/>
  <c r="AW82" i="3"/>
  <c r="BB82" i="3" s="1"/>
  <c r="AX82" i="3"/>
  <c r="BC82" i="3" s="1"/>
  <c r="AW106" i="3"/>
  <c r="BB106" i="3" s="1"/>
  <c r="AX106" i="3"/>
  <c r="BC106" i="3" s="1"/>
  <c r="AW56" i="3"/>
  <c r="BB56" i="3" s="1"/>
  <c r="AX56" i="3"/>
  <c r="BC56" i="3" s="1"/>
  <c r="AW55" i="3"/>
  <c r="BB55" i="3" s="1"/>
  <c r="AX55" i="3"/>
  <c r="BC55" i="3" s="1"/>
  <c r="AX54" i="3"/>
  <c r="BC54" i="3" s="1"/>
  <c r="AW54" i="3"/>
  <c r="BB54" i="3" s="1"/>
  <c r="AW53" i="3"/>
  <c r="BB53" i="3" s="1"/>
  <c r="AX53" i="3"/>
  <c r="BC53" i="3" s="1"/>
  <c r="AW25" i="3"/>
  <c r="BB25" i="3" s="1"/>
  <c r="AX25" i="3"/>
  <c r="BC25" i="3" s="1"/>
  <c r="AW114" i="3"/>
  <c r="BB114" i="3" s="1"/>
  <c r="AX114" i="3"/>
  <c r="BC114" i="3" s="1"/>
  <c r="AW96" i="3"/>
  <c r="BB96" i="3" s="1"/>
  <c r="AX96" i="3"/>
  <c r="BC96" i="3" s="1"/>
  <c r="AW57" i="3"/>
  <c r="BB57" i="3" s="1"/>
  <c r="AX57" i="3"/>
  <c r="BC57" i="3" s="1"/>
  <c r="AX5" i="3"/>
  <c r="BC5" i="3" s="1"/>
  <c r="AW5" i="3"/>
  <c r="BB5" i="3" s="1"/>
  <c r="AW4" i="3"/>
  <c r="BB4" i="3" s="1"/>
  <c r="AX4" i="3"/>
  <c r="BC4" i="3" s="1"/>
  <c r="AW120" i="3"/>
  <c r="BB120" i="3" s="1"/>
  <c r="AX120" i="3"/>
  <c r="BC120" i="3" s="1"/>
  <c r="AW112" i="3"/>
  <c r="BB112" i="3" s="1"/>
  <c r="AX112" i="3"/>
  <c r="BC112" i="3" s="1"/>
  <c r="AW116" i="3"/>
  <c r="BB116" i="3" s="1"/>
  <c r="AX116" i="3"/>
  <c r="BC116" i="3" s="1"/>
  <c r="AW75" i="3"/>
  <c r="BB75" i="3" s="1"/>
  <c r="AX75" i="3"/>
  <c r="BC75" i="3" s="1"/>
  <c r="AW47" i="3"/>
  <c r="BB47" i="3" s="1"/>
  <c r="AX47" i="3"/>
  <c r="BC47" i="3" s="1"/>
  <c r="AX46" i="3"/>
  <c r="BC46" i="3" s="1"/>
  <c r="AW46" i="3"/>
  <c r="BB46" i="3" s="1"/>
  <c r="AX45" i="3"/>
  <c r="BC45" i="3" s="1"/>
  <c r="AW45" i="3"/>
  <c r="BB45" i="3" s="1"/>
  <c r="AW97" i="3"/>
  <c r="BB97" i="3" s="1"/>
  <c r="AX97" i="3"/>
  <c r="BC97" i="3" s="1"/>
  <c r="AW52" i="3"/>
  <c r="BB52" i="3" s="1"/>
  <c r="AX52" i="3"/>
  <c r="BC52" i="3" s="1"/>
  <c r="AW87" i="3"/>
  <c r="BB87" i="3" s="1"/>
  <c r="AX87" i="3"/>
  <c r="BC87" i="3" s="1"/>
  <c r="AW78" i="3"/>
  <c r="BB78" i="3" s="1"/>
  <c r="AX78" i="3"/>
  <c r="BC78" i="3" s="1"/>
  <c r="AW48" i="3"/>
  <c r="BB48" i="3" s="1"/>
  <c r="AX48" i="3"/>
  <c r="BC48" i="3" s="1"/>
  <c r="AW36" i="3"/>
  <c r="BB36" i="3" s="1"/>
  <c r="AX36" i="3"/>
  <c r="BC36" i="3" s="1"/>
  <c r="AX22" i="3"/>
  <c r="BC22" i="3" s="1"/>
  <c r="AW22" i="3"/>
  <c r="BB22" i="3" s="1"/>
  <c r="AW80" i="3"/>
  <c r="BB80" i="3" s="1"/>
  <c r="AX80" i="3"/>
  <c r="BC80" i="3" s="1"/>
  <c r="AW85" i="3"/>
  <c r="BB85" i="3" s="1"/>
  <c r="AX85" i="3"/>
  <c r="BC85" i="3" s="1"/>
  <c r="AW68" i="3"/>
  <c r="BB68" i="3" s="1"/>
  <c r="AX68" i="3"/>
  <c r="BC68" i="3" s="1"/>
  <c r="AW38" i="3"/>
  <c r="BB38" i="3" s="1"/>
  <c r="AX38" i="3"/>
  <c r="BC38" i="3" s="1"/>
  <c r="AW35" i="3"/>
  <c r="BB35" i="3" s="1"/>
  <c r="AX35" i="3"/>
  <c r="BC35" i="3" s="1"/>
  <c r="AX79" i="3"/>
  <c r="BC79" i="3" s="1"/>
  <c r="AW79" i="3"/>
  <c r="BB79" i="3" s="1"/>
  <c r="AW115" i="3"/>
  <c r="BB115" i="3" s="1"/>
  <c r="AX115" i="3"/>
  <c r="BC115" i="3" s="1"/>
  <c r="AW59" i="3"/>
  <c r="BB59" i="3" s="1"/>
  <c r="AX59" i="3"/>
  <c r="BC59" i="3" s="1"/>
  <c r="AW50" i="3"/>
  <c r="BB50" i="3" s="1"/>
  <c r="AX50" i="3"/>
  <c r="BC50" i="3" s="1"/>
  <c r="AW39" i="3"/>
  <c r="BB39" i="3" s="1"/>
  <c r="AX39" i="3"/>
  <c r="BC39" i="3" s="1"/>
  <c r="AX118" i="3"/>
  <c r="BC118" i="3" s="1"/>
  <c r="AW118" i="3"/>
  <c r="BB118" i="3" s="1"/>
  <c r="AW76" i="3"/>
  <c r="BB76" i="3" s="1"/>
  <c r="AX76" i="3"/>
  <c r="BC76" i="3" s="1"/>
  <c r="AW43" i="3"/>
  <c r="BB43" i="3" s="1"/>
  <c r="AX43" i="3"/>
  <c r="BC43" i="3" s="1"/>
  <c r="AW124" i="3"/>
  <c r="BB124" i="3" s="1"/>
  <c r="AX124" i="3"/>
  <c r="BC124" i="3" s="1"/>
  <c r="AW29" i="3"/>
  <c r="BB29" i="3" s="1"/>
  <c r="AX29" i="3"/>
  <c r="BC29" i="3" s="1"/>
  <c r="AW27" i="3"/>
  <c r="BB27" i="3" s="1"/>
  <c r="AX27" i="3"/>
  <c r="BC27" i="3" s="1"/>
  <c r="AW26" i="3"/>
  <c r="BB26" i="3" s="1"/>
  <c r="AX26" i="3"/>
  <c r="BC26" i="3" s="1"/>
  <c r="AW51" i="3"/>
  <c r="BB51" i="3" s="1"/>
  <c r="AX51" i="3"/>
  <c r="BC51" i="3" s="1"/>
  <c r="AW33" i="3"/>
  <c r="BB33" i="3" s="1"/>
  <c r="AX33" i="3"/>
  <c r="BC33" i="3" s="1"/>
  <c r="AW32" i="3"/>
  <c r="BB32" i="3" s="1"/>
  <c r="AX32" i="3"/>
  <c r="BC32" i="3" s="1"/>
  <c r="AW23" i="3"/>
  <c r="BB23" i="3" s="1"/>
  <c r="AX23" i="3"/>
  <c r="BC23" i="3" s="1"/>
  <c r="AX30" i="3"/>
  <c r="BC30" i="3" s="1"/>
  <c r="AW30" i="3"/>
  <c r="BB30" i="3" s="1"/>
  <c r="AW127" i="3"/>
  <c r="BB127" i="3" s="1"/>
  <c r="AX127" i="3"/>
  <c r="BC127" i="3" s="1"/>
  <c r="AW107" i="3"/>
  <c r="BB107" i="3" s="1"/>
  <c r="AX107" i="3"/>
  <c r="BC107" i="3" s="1"/>
  <c r="AW111" i="3"/>
  <c r="BB111" i="3" s="1"/>
  <c r="AX111" i="3"/>
  <c r="BC111" i="3" s="1"/>
  <c r="AW81" i="3"/>
  <c r="BB81" i="3" s="1"/>
  <c r="AX81" i="3"/>
  <c r="BC81" i="3" s="1"/>
  <c r="AW73" i="3"/>
  <c r="BB73" i="3" s="1"/>
  <c r="AX73" i="3"/>
  <c r="BC73" i="3" s="1"/>
  <c r="AW37" i="3"/>
  <c r="BB37" i="3" s="1"/>
  <c r="AX37" i="3"/>
  <c r="BC37" i="3" s="1"/>
  <c r="AW19" i="3"/>
  <c r="BB19" i="3" s="1"/>
  <c r="AX19" i="3"/>
  <c r="BC19" i="3" s="1"/>
  <c r="AW18" i="3"/>
  <c r="BB18" i="3" s="1"/>
  <c r="AX18" i="3"/>
  <c r="BC18" i="3" s="1"/>
  <c r="AW17" i="3"/>
  <c r="BB17" i="3" s="1"/>
  <c r="AX17" i="3"/>
  <c r="BC17" i="3" s="1"/>
  <c r="AX15" i="3"/>
  <c r="BC15" i="3" s="1"/>
  <c r="AW15" i="3"/>
  <c r="BB15" i="3" s="1"/>
  <c r="AX69" i="3"/>
  <c r="BC69" i="3" s="1"/>
  <c r="AW69" i="3"/>
  <c r="BB69" i="3" s="1"/>
  <c r="AX14" i="3"/>
  <c r="BC14" i="3" s="1"/>
  <c r="AW14" i="3"/>
  <c r="BB14" i="3" s="1"/>
  <c r="AW113" i="3"/>
  <c r="BB113" i="3" s="1"/>
  <c r="AX113" i="3"/>
  <c r="BC113" i="3" s="1"/>
  <c r="AW21" i="3"/>
  <c r="BB21" i="3" s="1"/>
  <c r="AX21" i="3"/>
  <c r="BC21" i="3" s="1"/>
  <c r="AW28" i="3"/>
  <c r="BB28" i="3" s="1"/>
  <c r="AX28" i="3"/>
  <c r="BC28" i="3" s="1"/>
  <c r="AW109" i="3"/>
  <c r="BB109" i="3" s="1"/>
  <c r="AX109" i="3"/>
  <c r="BC109" i="3" s="1"/>
  <c r="AW83" i="3"/>
  <c r="BB83" i="3" s="1"/>
  <c r="AX83" i="3"/>
  <c r="BC83" i="3" s="1"/>
  <c r="AW74" i="3"/>
  <c r="BB74" i="3" s="1"/>
  <c r="AX74" i="3"/>
  <c r="BC74" i="3" s="1"/>
  <c r="AW10" i="3"/>
  <c r="BB10" i="3" s="1"/>
  <c r="AX10" i="3"/>
  <c r="BC10" i="3" s="1"/>
  <c r="AW9" i="3"/>
  <c r="BB9" i="3" s="1"/>
  <c r="AX9" i="3"/>
  <c r="BC9" i="3" s="1"/>
  <c r="AW8" i="3"/>
  <c r="BB8" i="3" s="1"/>
  <c r="AX8" i="3"/>
  <c r="BC8" i="3" s="1"/>
  <c r="AW105" i="3"/>
  <c r="BB105" i="3" s="1"/>
  <c r="AX105" i="3"/>
  <c r="BC105" i="3" s="1"/>
  <c r="AW104" i="3"/>
  <c r="BB104" i="3" s="1"/>
  <c r="AX104" i="3"/>
  <c r="BC104" i="3" s="1"/>
  <c r="AW122" i="3"/>
  <c r="BB122" i="3" s="1"/>
  <c r="AX122" i="3"/>
  <c r="BC122" i="3" s="1"/>
  <c r="AX86" i="3"/>
  <c r="BC86" i="3" s="1"/>
  <c r="AW86" i="3"/>
  <c r="BB86" i="3" s="1"/>
  <c r="AW11" i="3"/>
  <c r="BB11" i="3" s="1"/>
  <c r="AX11" i="3"/>
  <c r="BC11" i="3" s="1"/>
  <c r="AX6" i="3"/>
  <c r="BC6" i="3" s="1"/>
  <c r="AW6" i="3"/>
  <c r="BB6" i="3" s="1"/>
  <c r="AX126" i="3"/>
  <c r="BC126" i="3" s="1"/>
  <c r="AW126" i="3"/>
  <c r="BB126" i="3" s="1"/>
  <c r="AX110" i="3"/>
  <c r="BC110" i="3" s="1"/>
  <c r="AW110" i="3"/>
  <c r="BB110" i="3" s="1"/>
  <c r="AW7" i="3"/>
  <c r="BB7" i="3" s="1"/>
  <c r="AX7" i="3"/>
  <c r="BC7" i="3" s="1"/>
  <c r="AW88" i="3"/>
  <c r="BB88" i="3" s="1"/>
  <c r="AX88" i="3"/>
  <c r="BC88" i="3" s="1"/>
  <c r="AW92" i="3"/>
  <c r="BB92" i="3" s="1"/>
  <c r="AX92" i="3"/>
  <c r="BC92" i="3" s="1"/>
  <c r="AW100" i="3"/>
  <c r="BB100" i="3" s="1"/>
  <c r="AX100" i="3"/>
  <c r="BC100" i="3" s="1"/>
  <c r="AW108" i="3"/>
  <c r="BB108" i="3" s="1"/>
  <c r="AX108" i="3"/>
  <c r="BC108" i="3" s="1"/>
  <c r="AW41" i="3"/>
  <c r="BB41" i="3" s="1"/>
  <c r="AX41" i="3"/>
  <c r="BC41" i="3" s="1"/>
  <c r="AW67" i="3"/>
  <c r="BB67" i="3" s="1"/>
  <c r="AX67" i="3"/>
  <c r="BC67" i="3" s="1"/>
  <c r="AW95" i="3"/>
  <c r="BB95" i="3" s="1"/>
  <c r="AX95" i="3"/>
  <c r="BC95" i="3" s="1"/>
  <c r="AW58" i="3"/>
  <c r="BB58" i="3" s="1"/>
  <c r="AX58" i="3"/>
  <c r="BC58" i="3" s="1"/>
  <c r="AW3" i="3"/>
  <c r="BB3" i="3" s="1"/>
  <c r="AX3" i="3"/>
  <c r="BC3" i="3" s="1"/>
  <c r="AX2" i="3"/>
  <c r="BC2" i="3" s="1"/>
  <c r="AW2" i="3"/>
  <c r="M65" i="20" l="1" a="1"/>
  <c r="M65" i="20" s="1"/>
  <c r="AH105" i="3" a="1"/>
  <c r="AH105" i="3" s="1"/>
  <c r="AH15" i="3" a="1"/>
  <c r="AH15" i="3" s="1"/>
  <c r="AH121" i="3" a="1"/>
  <c r="AH121" i="3" s="1"/>
  <c r="AH78" i="3" a="1"/>
  <c r="AH78" i="3" s="1"/>
  <c r="AH96" i="3" a="1"/>
  <c r="AH96" i="3" s="1"/>
  <c r="AH37" i="3" a="1"/>
  <c r="AH37" i="3" s="1"/>
  <c r="AI16" i="28"/>
  <c r="AI14" i="28"/>
  <c r="AI7" i="28"/>
  <c r="AI19" i="28"/>
  <c r="AH39" i="3" a="1"/>
  <c r="AH39" i="3" s="1"/>
  <c r="AH4" i="3" a="1"/>
  <c r="AH4" i="3" s="1"/>
  <c r="AI2" i="28"/>
  <c r="AI10" i="28"/>
  <c r="AI11" i="28"/>
  <c r="AI18" i="28"/>
  <c r="AJ47" i="3" a="1"/>
  <c r="AJ47" i="3" s="1"/>
  <c r="AI21" i="28"/>
  <c r="AI4" i="28"/>
  <c r="AI22" i="28"/>
  <c r="AI3" i="28"/>
  <c r="AI20" i="28"/>
  <c r="AI9" i="28"/>
  <c r="AI17" i="28"/>
  <c r="AI5" i="28"/>
  <c r="AI6" i="28"/>
  <c r="AI8" i="28"/>
  <c r="AI15" i="28"/>
  <c r="AI12" i="28"/>
  <c r="AI13" i="28"/>
  <c r="AH83" i="3" a="1"/>
  <c r="AH83" i="3" s="1"/>
  <c r="AH49" i="3" a="1"/>
  <c r="AH49" i="3" s="1"/>
  <c r="AJ32" i="3" a="1"/>
  <c r="AJ32" i="3" s="1"/>
  <c r="AH59" i="3" a="1"/>
  <c r="AH59" i="3" s="1"/>
  <c r="AJ23" i="3" a="1"/>
  <c r="AJ23" i="3" s="1"/>
  <c r="AH88" i="3" a="1"/>
  <c r="AH88" i="3" s="1"/>
  <c r="AH72" i="3" a="1"/>
  <c r="AH72" i="3" s="1"/>
  <c r="AJ124" i="3" a="1"/>
  <c r="AJ124" i="3" s="1"/>
  <c r="AH106" i="3" a="1"/>
  <c r="AH106" i="3" s="1"/>
  <c r="AH116" i="3" a="1"/>
  <c r="AH116" i="3" s="1"/>
  <c r="AJ75" i="3" a="1"/>
  <c r="AJ75" i="3" s="1"/>
  <c r="AH124" i="3" a="1"/>
  <c r="AH124" i="3" s="1"/>
  <c r="AJ30" i="3" a="1"/>
  <c r="AJ30" i="3" s="1"/>
  <c r="AJ45" i="3" a="1"/>
  <c r="AJ45" i="3" s="1"/>
  <c r="AH7" i="3" a="1"/>
  <c r="AH7" i="3" s="1"/>
  <c r="AJ6" i="3" a="1"/>
  <c r="AJ6" i="3" s="1"/>
  <c r="AJ21" i="3" a="1"/>
  <c r="AJ21" i="3" s="1"/>
  <c r="AH115" i="3" a="1"/>
  <c r="AH115" i="3" s="1"/>
  <c r="AH12" i="3" a="1"/>
  <c r="AH12" i="3" s="1"/>
  <c r="AJ76" i="3" a="1"/>
  <c r="AJ76" i="3" s="1"/>
  <c r="AH66" i="3" a="1"/>
  <c r="AH66" i="3" s="1"/>
  <c r="AJ38" i="3" a="1"/>
  <c r="AJ38" i="3" s="1"/>
  <c r="AH19" i="3" a="1"/>
  <c r="AH19" i="3" s="1"/>
  <c r="AH117" i="3" a="1"/>
  <c r="AH117" i="3" s="1"/>
  <c r="AH65" i="3" a="1"/>
  <c r="AH65" i="3" s="1"/>
  <c r="AH24" i="3" a="1"/>
  <c r="AH24" i="3" s="1"/>
  <c r="AH60" i="3" a="1"/>
  <c r="AH60" i="3" s="1"/>
  <c r="AH73" i="3" a="1"/>
  <c r="AH73" i="3" s="1"/>
  <c r="AJ43" i="3" a="1"/>
  <c r="AJ43" i="3" s="1"/>
  <c r="AJ85" i="3" a="1"/>
  <c r="AJ85" i="3" s="1"/>
  <c r="AH9" i="3" a="1"/>
  <c r="AH9" i="3" s="1"/>
  <c r="AH108" i="3" a="1"/>
  <c r="AH108" i="3" s="1"/>
  <c r="AH56" i="3" a="1"/>
  <c r="AH56" i="3" s="1"/>
  <c r="AH94" i="3" a="1"/>
  <c r="AH94" i="3" s="1"/>
  <c r="M73" i="20" a="1"/>
  <c r="M73" i="20" s="1"/>
  <c r="AH42" i="3" a="1"/>
  <c r="AH42" i="3" s="1"/>
  <c r="M70" i="20" a="1"/>
  <c r="M70" i="20" s="1"/>
  <c r="AH44" i="3" a="1"/>
  <c r="AH44" i="3" s="1"/>
  <c r="AJ65" i="3" a="1"/>
  <c r="AJ65" i="3" s="1"/>
  <c r="AH84" i="3" a="1"/>
  <c r="AH84" i="3" s="1"/>
  <c r="AH75" i="3" a="1"/>
  <c r="AH75" i="3" s="1"/>
  <c r="AJ82" i="3" a="1"/>
  <c r="AJ82" i="3" s="1"/>
  <c r="AJ44" i="3" a="1"/>
  <c r="AJ44" i="3" s="1"/>
  <c r="AJ27" i="3" a="1"/>
  <c r="AJ27" i="3" s="1"/>
  <c r="AJ34" i="3" a="1"/>
  <c r="AJ34" i="3" s="1"/>
  <c r="AH48" i="3" a="1"/>
  <c r="AH48" i="3" s="1"/>
  <c r="AJ88" i="3" a="1"/>
  <c r="AJ88" i="3" s="1"/>
  <c r="AJ29" i="3" a="1"/>
  <c r="AJ29" i="3" s="1"/>
  <c r="AH34" i="3" a="1"/>
  <c r="AH34" i="3" s="1"/>
  <c r="C24" i="21"/>
  <c r="AJ42" i="3" a="1"/>
  <c r="AJ42" i="3" s="1"/>
  <c r="AH99" i="3" a="1"/>
  <c r="AH99" i="3" s="1"/>
  <c r="AJ24" i="3" a="1"/>
  <c r="AJ24" i="3" s="1"/>
  <c r="AH43" i="3" a="1"/>
  <c r="AH43" i="3" s="1"/>
  <c r="AH112" i="3" a="1"/>
  <c r="AH112" i="3" s="1"/>
  <c r="AJ117" i="3" a="1"/>
  <c r="AJ117" i="3" s="1"/>
  <c r="AH62" i="3" a="1"/>
  <c r="AH62" i="3" s="1"/>
  <c r="AJ57" i="3" a="1"/>
  <c r="AJ57" i="3" s="1"/>
  <c r="AJ89" i="3" a="1"/>
  <c r="AJ89" i="3" s="1"/>
  <c r="AH89" i="3" a="1"/>
  <c r="AH89" i="3" s="1"/>
  <c r="AJ60" i="3" a="1"/>
  <c r="AJ60" i="3" s="1"/>
  <c r="AJ103" i="3" a="1"/>
  <c r="AJ103" i="3" s="1"/>
  <c r="AJ50" i="3" a="1"/>
  <c r="AJ50" i="3" s="1"/>
  <c r="AH107" i="3" a="1"/>
  <c r="AH107" i="3" s="1"/>
  <c r="AJ62" i="3" a="1"/>
  <c r="AJ62" i="3" s="1"/>
  <c r="M67" i="20" a="1"/>
  <c r="M67" i="20" s="1"/>
  <c r="AH52" i="3" a="1"/>
  <c r="AH52" i="3" s="1"/>
  <c r="AH50" i="3" a="1"/>
  <c r="AH50" i="3" s="1"/>
  <c r="AH57" i="3" a="1"/>
  <c r="AH57" i="3" s="1"/>
  <c r="AJ125" i="3" a="1"/>
  <c r="AJ125" i="3" s="1"/>
  <c r="O73" i="20" s="1" a="1"/>
  <c r="O73" i="20" s="1"/>
  <c r="AJ25" i="3" a="1"/>
  <c r="AJ25" i="3" s="1"/>
  <c r="AJ18" i="3" a="1"/>
  <c r="AJ18" i="3" s="1"/>
  <c r="AJ71" i="3" a="1"/>
  <c r="AJ71" i="3" s="1"/>
  <c r="AJ112" i="3" a="1"/>
  <c r="AJ112" i="3" s="1"/>
  <c r="AH25" i="3" a="1"/>
  <c r="AH25" i="3" s="1"/>
  <c r="AH120" i="3" a="1"/>
  <c r="AH120" i="3" s="1"/>
  <c r="AJ48" i="3" a="1"/>
  <c r="AJ48" i="3" s="1"/>
  <c r="AH71" i="3" a="1"/>
  <c r="AH71" i="3" s="1"/>
  <c r="AH35" i="3" a="1"/>
  <c r="AH35" i="3" s="1"/>
  <c r="AH85" i="3" a="1"/>
  <c r="AH85" i="3" s="1"/>
  <c r="AH70" i="3" a="1"/>
  <c r="AH70" i="3" s="1"/>
  <c r="AJ99" i="3" a="1"/>
  <c r="AJ99" i="3" s="1"/>
  <c r="AH103" i="3" a="1"/>
  <c r="AH103" i="3" s="1"/>
  <c r="AH125" i="3" a="1"/>
  <c r="AH125" i="3" s="1"/>
  <c r="Q73" i="20" s="1" a="1"/>
  <c r="Q73" i="20" s="1"/>
  <c r="AH11" i="3" a="1"/>
  <c r="AH11" i="3" s="1"/>
  <c r="AJ94" i="3" a="1"/>
  <c r="AJ94" i="3" s="1"/>
  <c r="AJ52" i="3" a="1"/>
  <c r="AJ52" i="3" s="1"/>
  <c r="AJ79" i="3" a="1"/>
  <c r="AJ79" i="3" s="1"/>
  <c r="AH77" i="3" a="1"/>
  <c r="AH77" i="3" s="1"/>
  <c r="AH93" i="3" a="1"/>
  <c r="AH93" i="3" s="1"/>
  <c r="M63" i="20" a="1"/>
  <c r="M63" i="20" s="1"/>
  <c r="AJ74" i="3" a="1"/>
  <c r="AJ74" i="3" s="1"/>
  <c r="AH38" i="3" a="1"/>
  <c r="AH38" i="3" s="1"/>
  <c r="AJ87" i="3" a="1"/>
  <c r="AJ87" i="3" s="1"/>
  <c r="AJ28" i="3" a="1"/>
  <c r="AJ28" i="3" s="1"/>
  <c r="AH91" i="3" a="1"/>
  <c r="AH91" i="3" s="1"/>
  <c r="M64" i="20" a="1"/>
  <c r="M64" i="20" s="1"/>
  <c r="AJ119" i="3" a="1"/>
  <c r="AJ119" i="3" s="1"/>
  <c r="AJ120" i="3" a="1"/>
  <c r="AJ120" i="3" s="1"/>
  <c r="AH30" i="3" a="1"/>
  <c r="AH30" i="3" s="1"/>
  <c r="AH10" i="3" a="1"/>
  <c r="AH10" i="3" s="1"/>
  <c r="AH26" i="3" a="1"/>
  <c r="AH26" i="3" s="1"/>
  <c r="M62" i="20" a="1"/>
  <c r="M62" i="20" s="1"/>
  <c r="AJ127" i="3" a="1"/>
  <c r="AJ127" i="3" s="1"/>
  <c r="AH63" i="3" a="1"/>
  <c r="AH63" i="3" s="1"/>
  <c r="AJ97" i="3" a="1"/>
  <c r="AJ97" i="3" s="1"/>
  <c r="AH6" i="3" a="1"/>
  <c r="AH6" i="3" s="1"/>
  <c r="AJ122" i="3" a="1"/>
  <c r="AJ122" i="3" s="1"/>
  <c r="AH18" i="3" a="1"/>
  <c r="AH18" i="3" s="1"/>
  <c r="AH111" i="3" a="1"/>
  <c r="AH111" i="3" s="1"/>
  <c r="AJ77" i="3" a="1"/>
  <c r="AJ77" i="3" s="1"/>
  <c r="AJ3" i="3" a="1"/>
  <c r="AJ3" i="3" s="1"/>
  <c r="AJ80" i="3" a="1"/>
  <c r="AJ80" i="3" s="1"/>
  <c r="AJ114" i="3" a="1"/>
  <c r="AJ114" i="3" s="1"/>
  <c r="AJ64" i="3" a="1"/>
  <c r="AJ64" i="3" s="1"/>
  <c r="AH46" i="3" a="1"/>
  <c r="AH46" i="3" s="1"/>
  <c r="AJ53" i="3" a="1"/>
  <c r="AJ53" i="3" s="1"/>
  <c r="AH45" i="3" a="1"/>
  <c r="AH45" i="3" s="1"/>
  <c r="AJ41" i="3" a="1"/>
  <c r="AJ41" i="3" s="1"/>
  <c r="AH20" i="3" a="1"/>
  <c r="AH20" i="3" s="1"/>
  <c r="AH90" i="3" a="1"/>
  <c r="AH90" i="3" s="1"/>
  <c r="AJ110" i="3" a="1"/>
  <c r="AJ110" i="3" s="1"/>
  <c r="AH29" i="3" a="1"/>
  <c r="AH29" i="3" s="1"/>
  <c r="AH67" i="3" a="1"/>
  <c r="AH67" i="3" s="1"/>
  <c r="AH118" i="3" a="1"/>
  <c r="AH118" i="3" s="1"/>
  <c r="M71" i="20" a="1"/>
  <c r="M71" i="20" s="1"/>
  <c r="AJ70" i="3" a="1"/>
  <c r="AJ70" i="3" s="1"/>
  <c r="AJ14" i="3" a="1"/>
  <c r="AJ14" i="3" s="1"/>
  <c r="AJ31" i="3" a="1"/>
  <c r="AJ31" i="3" s="1"/>
  <c r="AH54" i="3" a="1"/>
  <c r="AH54" i="3" s="1"/>
  <c r="AH55" i="3" a="1"/>
  <c r="AH55" i="3" s="1"/>
  <c r="AH22" i="3" a="1"/>
  <c r="AH22" i="3" s="1"/>
  <c r="AH16" i="3" a="1"/>
  <c r="AH16" i="3" s="1"/>
  <c r="AH126" i="3" a="1"/>
  <c r="AH126" i="3" s="1"/>
  <c r="AH86" i="3" a="1"/>
  <c r="AH86" i="3" s="1"/>
  <c r="AH119" i="3" a="1"/>
  <c r="AH119" i="3" s="1"/>
  <c r="AH36" i="3" a="1"/>
  <c r="AH36" i="3" s="1"/>
  <c r="AJ92" i="3" a="1"/>
  <c r="AJ92" i="3" s="1"/>
  <c r="AJ98" i="3" a="1"/>
  <c r="AJ98" i="3" s="1"/>
  <c r="AJ100" i="3" a="1"/>
  <c r="AJ100" i="3" s="1"/>
  <c r="AJ68" i="3" a="1"/>
  <c r="AJ68" i="3" s="1"/>
  <c r="AJ12" i="3" a="1"/>
  <c r="AJ12" i="3" s="1"/>
  <c r="AH113" i="3" a="1"/>
  <c r="AH113" i="3" s="1"/>
  <c r="AH8" i="3" a="1"/>
  <c r="AH8" i="3" s="1"/>
  <c r="AH92" i="3" a="1"/>
  <c r="AH92" i="3" s="1"/>
  <c r="AJ115" i="3" a="1"/>
  <c r="AJ115" i="3" s="1"/>
  <c r="AH31" i="3" a="1"/>
  <c r="AH31" i="3" s="1"/>
  <c r="AH127" i="3" a="1"/>
  <c r="AH127" i="3" s="1"/>
  <c r="M69" i="20" a="1"/>
  <c r="M69" i="20" s="1"/>
  <c r="AJ86" i="3" a="1"/>
  <c r="AJ86" i="3" s="1"/>
  <c r="AJ16" i="3" a="1"/>
  <c r="AJ16" i="3" s="1"/>
  <c r="AJ109" i="3" a="1"/>
  <c r="AJ109" i="3" s="1"/>
  <c r="AJ8" i="3" a="1"/>
  <c r="AJ8" i="3" s="1"/>
  <c r="AJ106" i="3" a="1"/>
  <c r="AJ106" i="3" s="1"/>
  <c r="AJ7" i="3" a="1"/>
  <c r="AJ7" i="3" s="1"/>
  <c r="AH13" i="3" a="1"/>
  <c r="AH13" i="3" s="1"/>
  <c r="AH100" i="3" a="1"/>
  <c r="AH100" i="3" s="1"/>
  <c r="AH5" i="3" a="1"/>
  <c r="AH5" i="3" s="1"/>
  <c r="AH95" i="3" a="1"/>
  <c r="AH95" i="3" s="1"/>
  <c r="AH80" i="3" a="1"/>
  <c r="AH80" i="3" s="1"/>
  <c r="M68" i="20" a="1"/>
  <c r="M68" i="20" s="1"/>
  <c r="AJ10" i="3" a="1"/>
  <c r="AJ10" i="3" s="1"/>
  <c r="AJ111" i="3" a="1"/>
  <c r="AJ111" i="3" s="1"/>
  <c r="AJ108" i="3" a="1"/>
  <c r="AJ108" i="3" s="1"/>
  <c r="AJ123" i="3" a="1"/>
  <c r="AJ123" i="3" s="1"/>
  <c r="O72" i="20" s="1" a="1"/>
  <c r="O72" i="20" s="1"/>
  <c r="AH76" i="3" a="1"/>
  <c r="AH76" i="3" s="1"/>
  <c r="AH101" i="3" a="1"/>
  <c r="AH101" i="3" s="1"/>
  <c r="AJ126" i="3" a="1"/>
  <c r="AJ126" i="3" s="1"/>
  <c r="AH114" i="3" a="1"/>
  <c r="AH114" i="3" s="1"/>
  <c r="AH14" i="3" a="1"/>
  <c r="AH14" i="3" s="1"/>
  <c r="AH58" i="3" a="1"/>
  <c r="AH58" i="3" s="1"/>
  <c r="AH98" i="3" a="1"/>
  <c r="AH98" i="3" s="1"/>
  <c r="AJ26" i="3" a="1"/>
  <c r="AJ26" i="3" s="1"/>
  <c r="AJ90" i="3" a="1"/>
  <c r="AJ90" i="3" s="1"/>
  <c r="AJ5" i="3" a="1"/>
  <c r="AJ5" i="3" s="1"/>
  <c r="AJ11" i="3" a="1"/>
  <c r="AJ11" i="3" s="1"/>
  <c r="AJ2" i="3" a="1"/>
  <c r="AJ2" i="3" s="1"/>
  <c r="AJ61" i="3" a="1"/>
  <c r="AJ61" i="3" s="1"/>
  <c r="AH2" i="3" a="1"/>
  <c r="AH2" i="3" s="1"/>
  <c r="AJ66" i="3" a="1"/>
  <c r="AJ66" i="3" s="1"/>
  <c r="AJ118" i="3" a="1"/>
  <c r="AJ118" i="3" s="1"/>
  <c r="O70" i="20" s="1" a="1"/>
  <c r="O70" i="20" s="1"/>
  <c r="AH104" i="3" a="1"/>
  <c r="AH104" i="3" s="1"/>
  <c r="AH21" i="3" a="1"/>
  <c r="AH21" i="3" s="1"/>
  <c r="AH17" i="3" a="1"/>
  <c r="AH17" i="3" s="1"/>
  <c r="AJ19" i="3" a="1"/>
  <c r="AJ19" i="3" s="1"/>
  <c r="AH33" i="3" a="1"/>
  <c r="AH33" i="3" s="1"/>
  <c r="AH69" i="3" a="1"/>
  <c r="AH69" i="3" s="1"/>
  <c r="AH74" i="3" a="1"/>
  <c r="AH74" i="3" s="1"/>
  <c r="AH109" i="3" a="1"/>
  <c r="AH109" i="3" s="1"/>
  <c r="AJ35" i="3" a="1"/>
  <c r="AJ35" i="3" s="1"/>
  <c r="AJ93" i="3" a="1"/>
  <c r="AJ93" i="3" s="1"/>
  <c r="AJ58" i="3" a="1"/>
  <c r="AJ58" i="3" s="1"/>
  <c r="AJ33" i="3" a="1"/>
  <c r="AJ33" i="3" s="1"/>
  <c r="AH81" i="3" a="1"/>
  <c r="AH81" i="3" s="1"/>
  <c r="AJ51" i="3" a="1"/>
  <c r="AJ51" i="3" s="1"/>
  <c r="AJ46" i="3" a="1"/>
  <c r="AJ46" i="3" s="1"/>
  <c r="AJ91" i="3" a="1"/>
  <c r="AJ91" i="3" s="1"/>
  <c r="AJ101" i="3" a="1"/>
  <c r="AJ101" i="3" s="1"/>
  <c r="AH53" i="3" a="1"/>
  <c r="AH53" i="3" s="1"/>
  <c r="AH68" i="3" a="1"/>
  <c r="AH68" i="3" s="1"/>
  <c r="AJ17" i="3" a="1"/>
  <c r="AJ17" i="3" s="1"/>
  <c r="AJ104" i="3" a="1"/>
  <c r="AJ104" i="3" s="1"/>
  <c r="AJ95" i="3" a="1"/>
  <c r="AJ95" i="3" s="1"/>
  <c r="AJ102" i="3" a="1"/>
  <c r="AJ102" i="3" s="1"/>
  <c r="AH79" i="3" a="1"/>
  <c r="AH79" i="3" s="1"/>
  <c r="AH97" i="3" a="1"/>
  <c r="AH97" i="3" s="1"/>
  <c r="AH64" i="3" a="1"/>
  <c r="AH64" i="3" s="1"/>
  <c r="AH102" i="3" a="1"/>
  <c r="AH102" i="3" s="1"/>
  <c r="AJ107" i="3" a="1"/>
  <c r="AJ107" i="3" s="1"/>
  <c r="AH110" i="3" a="1"/>
  <c r="AH110" i="3" s="1"/>
  <c r="AH87" i="3" a="1"/>
  <c r="AH87" i="3" s="1"/>
  <c r="AJ13" i="3" a="1"/>
  <c r="AJ13" i="3" s="1"/>
  <c r="AH51" i="3" a="1"/>
  <c r="AH51" i="3" s="1"/>
  <c r="AJ22" i="3" a="1"/>
  <c r="AJ22" i="3" s="1"/>
  <c r="AJ113" i="3" a="1"/>
  <c r="AJ113" i="3" s="1"/>
  <c r="AJ54" i="3" a="1"/>
  <c r="AJ54" i="3" s="1"/>
  <c r="AH41" i="3" a="1"/>
  <c r="AH41" i="3" s="1"/>
  <c r="AJ55" i="3" a="1"/>
  <c r="AJ55" i="3" s="1"/>
  <c r="M72" i="20" a="1"/>
  <c r="M72" i="20" s="1"/>
  <c r="AJ63" i="3" a="1"/>
  <c r="AJ63" i="3" s="1"/>
  <c r="AJ20" i="3" a="1"/>
  <c r="AJ20" i="3" s="1"/>
  <c r="AH122" i="3" a="1"/>
  <c r="AH122" i="3" s="1"/>
  <c r="AH61" i="3" a="1"/>
  <c r="AH61" i="3" s="1"/>
  <c r="AH123" i="3" a="1"/>
  <c r="AH123" i="3" s="1"/>
  <c r="Q72" i="20" s="1" a="1"/>
  <c r="Q72" i="20" s="1"/>
  <c r="AJ40" i="3" a="1"/>
  <c r="AJ40" i="3" s="1"/>
  <c r="AH40" i="3" a="1"/>
  <c r="AH40" i="3" s="1"/>
  <c r="P53" i="20"/>
  <c r="AP119" i="3"/>
  <c r="AP57" i="3"/>
  <c r="AP27" i="3"/>
  <c r="AP90" i="3"/>
  <c r="AP54" i="3"/>
  <c r="AP26" i="3"/>
  <c r="AP120" i="3"/>
  <c r="AP106" i="3"/>
  <c r="AP123" i="3"/>
  <c r="AP74" i="3"/>
  <c r="AP50" i="3"/>
  <c r="AP44" i="3"/>
  <c r="AP37" i="3"/>
  <c r="AP86" i="3"/>
  <c r="AP122" i="3"/>
  <c r="AP83" i="3"/>
  <c r="AP104" i="3"/>
  <c r="AP105" i="3"/>
  <c r="AP8" i="3"/>
  <c r="AP9" i="3"/>
  <c r="AP40" i="3"/>
  <c r="AP113" i="3"/>
  <c r="AP14" i="3"/>
  <c r="AP6" i="3"/>
  <c r="AP5" i="3"/>
  <c r="AP58" i="3"/>
  <c r="AP82" i="3"/>
  <c r="AP97" i="3"/>
  <c r="AP69" i="3"/>
  <c r="AP80" i="3"/>
  <c r="AP73" i="3"/>
  <c r="AP87" i="3"/>
  <c r="AP99" i="3"/>
  <c r="AP98" i="3"/>
  <c r="AP20" i="3"/>
  <c r="AP109" i="3"/>
  <c r="AP4" i="3"/>
  <c r="AP117" i="3"/>
  <c r="AP3" i="3"/>
  <c r="AP127" i="3"/>
  <c r="AP70" i="3"/>
  <c r="AP95" i="3"/>
  <c r="AP16" i="3"/>
  <c r="AP45" i="3"/>
  <c r="AP15" i="3"/>
  <c r="AP126" i="3"/>
  <c r="AP81" i="3"/>
  <c r="AP62" i="3"/>
  <c r="AP34" i="3"/>
  <c r="AP124" i="3"/>
  <c r="AP101" i="3"/>
  <c r="AP63" i="3"/>
  <c r="AP88" i="3"/>
  <c r="AP43" i="3"/>
  <c r="AP35" i="3"/>
  <c r="AP36" i="3"/>
  <c r="AP67" i="3"/>
  <c r="AP125" i="3"/>
  <c r="AP96" i="3"/>
  <c r="AP17" i="3"/>
  <c r="AP30" i="3"/>
  <c r="AP61" i="3"/>
  <c r="AP116" i="3"/>
  <c r="AP76" i="3"/>
  <c r="AP48" i="3"/>
  <c r="AP22" i="3"/>
  <c r="AP46" i="3"/>
  <c r="AP94" i="3"/>
  <c r="AP59" i="3"/>
  <c r="AP38" i="3"/>
  <c r="AP52" i="3"/>
  <c r="AP28" i="3"/>
  <c r="AP41" i="3"/>
  <c r="AP112" i="3"/>
  <c r="AP55" i="3"/>
  <c r="AP18" i="3"/>
  <c r="AP23" i="3"/>
  <c r="AP93" i="3"/>
  <c r="AP24" i="3"/>
  <c r="AP47" i="3"/>
  <c r="AP25" i="3"/>
  <c r="AP7" i="3"/>
  <c r="AP49" i="3"/>
  <c r="AP114" i="3"/>
  <c r="AP66" i="3"/>
  <c r="AP108" i="3"/>
  <c r="AP111" i="3"/>
  <c r="AP60" i="3"/>
  <c r="AP19" i="3"/>
  <c r="AP32" i="3"/>
  <c r="AP71" i="3"/>
  <c r="AP103" i="3"/>
  <c r="AP64" i="3"/>
  <c r="AP12" i="3"/>
  <c r="AP56" i="3"/>
  <c r="AP10" i="3"/>
  <c r="AP13" i="3"/>
  <c r="AP84" i="3"/>
  <c r="AP75" i="3"/>
  <c r="AP39" i="3"/>
  <c r="AP65" i="3"/>
  <c r="AP53" i="3"/>
  <c r="AP100" i="3"/>
  <c r="AP118" i="3"/>
  <c r="AP68" i="3"/>
  <c r="AP115" i="3"/>
  <c r="AP33" i="3"/>
  <c r="AP89" i="3"/>
  <c r="AP29" i="3"/>
  <c r="AP79" i="3"/>
  <c r="AP110" i="3"/>
  <c r="AP107" i="3"/>
  <c r="AP21" i="3"/>
  <c r="AP77" i="3"/>
  <c r="AP91" i="3"/>
  <c r="AP31" i="3"/>
  <c r="AP102" i="3"/>
  <c r="AP72" i="3"/>
  <c r="AP42" i="3"/>
  <c r="AP92" i="3"/>
  <c r="AP11" i="3"/>
  <c r="AP85" i="3"/>
  <c r="AP78" i="3"/>
  <c r="AP51" i="3"/>
  <c r="AP121" i="3"/>
  <c r="BB2" i="3"/>
  <c r="Q64" i="20" l="1" a="1"/>
  <c r="Q64" i="20" s="1"/>
  <c r="R53" i="20"/>
  <c r="Q71" i="20" a="1"/>
  <c r="Q71" i="20" s="1"/>
  <c r="Q70" i="20" a="1"/>
  <c r="Q70" i="20" s="1"/>
  <c r="O71" i="20" a="1"/>
  <c r="O71" i="20" s="1"/>
  <c r="O64" i="20" a="1"/>
  <c r="O64" i="20" s="1"/>
  <c r="Q66" i="20" a="1"/>
  <c r="Q66" i="20" s="1"/>
  <c r="O66" i="20" a="1"/>
  <c r="O66" i="20" s="1"/>
  <c r="AI87" i="3"/>
  <c r="AI74" i="3"/>
  <c r="AI36" i="3"/>
  <c r="AI94" i="3"/>
  <c r="AI102" i="3"/>
  <c r="AI95" i="3"/>
  <c r="AI79" i="3"/>
  <c r="AI120" i="3"/>
  <c r="AK95" i="3"/>
  <c r="AN95" i="3" s="1"/>
  <c r="AK87" i="3"/>
  <c r="AN87" i="3" s="1"/>
  <c r="AK88" i="3"/>
  <c r="AN88" i="3" s="1"/>
  <c r="AK74" i="3"/>
  <c r="AN74" i="3" s="1"/>
  <c r="AK126" i="3"/>
  <c r="AN126" i="3" s="1"/>
  <c r="AK89" i="3"/>
  <c r="AN89" i="3" s="1"/>
  <c r="AK16" i="3"/>
  <c r="AN16" i="3" s="1"/>
  <c r="AK57" i="3"/>
  <c r="AN57" i="3" s="1"/>
  <c r="AK22" i="3"/>
  <c r="AN22" i="3" s="1"/>
  <c r="AK13" i="3"/>
  <c r="AN13" i="3" s="1"/>
  <c r="AK18" i="3"/>
  <c r="AN18" i="3" s="1"/>
  <c r="AK40" i="3"/>
  <c r="AN40" i="3" s="1"/>
  <c r="AK107" i="3"/>
  <c r="AN107" i="3" s="1"/>
  <c r="AK99" i="3"/>
  <c r="AN99" i="3" s="1"/>
  <c r="AK94" i="3"/>
  <c r="AN94" i="3" s="1"/>
  <c r="AK2" i="3"/>
  <c r="AN2" i="3" s="1"/>
  <c r="Q67" i="20" a="1"/>
  <c r="Q67" i="20" s="1"/>
  <c r="AI88" i="3"/>
  <c r="AK63" i="3"/>
  <c r="AN63" i="3" s="1"/>
  <c r="AI2" i="3"/>
  <c r="AI31" i="3"/>
  <c r="AI22" i="3"/>
  <c r="AK79" i="3"/>
  <c r="AN79" i="3" s="1"/>
  <c r="AI99" i="3"/>
  <c r="AI18" i="3"/>
  <c r="AI7" i="3"/>
  <c r="AI61" i="3"/>
  <c r="AI126" i="3"/>
  <c r="AK120" i="3"/>
  <c r="AN120" i="3" s="1"/>
  <c r="AK41" i="3"/>
  <c r="AN41" i="3" s="1"/>
  <c r="AI42" i="3"/>
  <c r="AI80" i="3"/>
  <c r="AK60" i="3"/>
  <c r="AN60" i="3" s="1"/>
  <c r="AK42" i="3"/>
  <c r="AN42" i="3" s="1"/>
  <c r="AI76" i="3"/>
  <c r="Q68" i="20" a="1"/>
  <c r="Q68" i="20" s="1"/>
  <c r="AI63" i="3"/>
  <c r="O52" i="20"/>
  <c r="D20" i="21" s="1"/>
  <c r="D21" i="21" s="1"/>
  <c r="AI104" i="3"/>
  <c r="AK97" i="3"/>
  <c r="AN97" i="3" s="1"/>
  <c r="AK104" i="3"/>
  <c r="AN104" i="3" s="1"/>
  <c r="AK102" i="3"/>
  <c r="AN102" i="3" s="1"/>
  <c r="AK61" i="3"/>
  <c r="AN61" i="3" s="1"/>
  <c r="AI40" i="3"/>
  <c r="AK76" i="3"/>
  <c r="AN76" i="3" s="1"/>
  <c r="AI16" i="3"/>
  <c r="AI57" i="3"/>
  <c r="AK7" i="3"/>
  <c r="AN7" i="3" s="1"/>
  <c r="AK80" i="3"/>
  <c r="AN80" i="3" s="1"/>
  <c r="AI89" i="3"/>
  <c r="AI41" i="3"/>
  <c r="AI119" i="3"/>
  <c r="AI97" i="3"/>
  <c r="AK119" i="3"/>
  <c r="AN119" i="3" s="1"/>
  <c r="AI60" i="3"/>
  <c r="AI107" i="3"/>
  <c r="AK31" i="3"/>
  <c r="AN31" i="3" s="1"/>
  <c r="AI37" i="3"/>
  <c r="AK36" i="3"/>
  <c r="AN36" i="3" s="1"/>
  <c r="AK37" i="3"/>
  <c r="AN37" i="3" s="1"/>
  <c r="AI13" i="3"/>
  <c r="Q65" i="20" a="1"/>
  <c r="Q65" i="20" s="1"/>
  <c r="O63" i="20" a="1"/>
  <c r="O63" i="20" s="1"/>
  <c r="O68" i="20" a="1"/>
  <c r="O68" i="20" s="1"/>
  <c r="O69" i="20" a="1"/>
  <c r="O69" i="20" s="1"/>
  <c r="O67" i="20" a="1"/>
  <c r="O67" i="20" s="1"/>
  <c r="O65" i="20" a="1"/>
  <c r="O65" i="20" s="1"/>
  <c r="Q69" i="20" a="1"/>
  <c r="Q69" i="20" s="1"/>
  <c r="Q52" i="20"/>
  <c r="Q63" i="20" a="1"/>
  <c r="Q63" i="20" s="1"/>
  <c r="Q62" i="20" a="1"/>
  <c r="Q62" i="20" s="1"/>
  <c r="O62" i="20" a="1"/>
  <c r="O62" i="20" s="1"/>
  <c r="AK116" i="3"/>
  <c r="AK68" i="3"/>
  <c r="AN68" i="3" s="1"/>
  <c r="AK82" i="3"/>
  <c r="AN82" i="3" s="1"/>
  <c r="AK29" i="3"/>
  <c r="AN29" i="3" s="1"/>
  <c r="AK85" i="3"/>
  <c r="AN85" i="3" s="1"/>
  <c r="AK48" i="3"/>
  <c r="AN48" i="3" s="1"/>
  <c r="AK114" i="3"/>
  <c r="AN114" i="3" s="1"/>
  <c r="AK127" i="3"/>
  <c r="AN127" i="3" s="1"/>
  <c r="AI11" i="3"/>
  <c r="AK71" i="3"/>
  <c r="AN71" i="3" s="1"/>
  <c r="AK73" i="3"/>
  <c r="AN73" i="3" s="1"/>
  <c r="AI117" i="3"/>
  <c r="AK65" i="3"/>
  <c r="AN65" i="3" s="1"/>
  <c r="AI111" i="3"/>
  <c r="AK109" i="3"/>
  <c r="AN109" i="3" s="1"/>
  <c r="AI64" i="3"/>
  <c r="AI34" i="3"/>
  <c r="AI58" i="3"/>
  <c r="AK8" i="3"/>
  <c r="AN8" i="3" s="1"/>
  <c r="AK67" i="3"/>
  <c r="AN67" i="3" s="1"/>
  <c r="AK98" i="3"/>
  <c r="AN98" i="3" s="1"/>
  <c r="AK54" i="3"/>
  <c r="AN54" i="3" s="1"/>
  <c r="AK43" i="3"/>
  <c r="AN43" i="3" s="1"/>
  <c r="AK5" i="3"/>
  <c r="AN5" i="3" s="1"/>
  <c r="AI59" i="3"/>
  <c r="AK113" i="3"/>
  <c r="AN113" i="3" s="1"/>
  <c r="AK64" i="3"/>
  <c r="AN64" i="3" s="1"/>
  <c r="AK15" i="3"/>
  <c r="AN15" i="3" s="1"/>
  <c r="AK49" i="3"/>
  <c r="AN49" i="3" s="1"/>
  <c r="AI73" i="3"/>
  <c r="AI82" i="3"/>
  <c r="AI9" i="3"/>
  <c r="AI75" i="3"/>
  <c r="AK46" i="3"/>
  <c r="AN46" i="3" s="1"/>
  <c r="AK124" i="3"/>
  <c r="AN124" i="3" s="1"/>
  <c r="AI53" i="3"/>
  <c r="AI65" i="3"/>
  <c r="AI66" i="3"/>
  <c r="AI85" i="3"/>
  <c r="AI24" i="3"/>
  <c r="AI10" i="3"/>
  <c r="AK111" i="3"/>
  <c r="AN111" i="3" s="1"/>
  <c r="AK10" i="3"/>
  <c r="AN10" i="3" s="1"/>
  <c r="AK66" i="3"/>
  <c r="AN66" i="3" s="1"/>
  <c r="AK123" i="3"/>
  <c r="AK56" i="3"/>
  <c r="AN56" i="3" s="1"/>
  <c r="AK12" i="3"/>
  <c r="AN12" i="3" s="1"/>
  <c r="AI77" i="3"/>
  <c r="AI3" i="3"/>
  <c r="AI17" i="3"/>
  <c r="AI121" i="3"/>
  <c r="AI127" i="3"/>
  <c r="AI72" i="3"/>
  <c r="AK59" i="3"/>
  <c r="AN59" i="3" s="1"/>
  <c r="AK17" i="3"/>
  <c r="AK38" i="3"/>
  <c r="AN38" i="3" s="1"/>
  <c r="AK93" i="3"/>
  <c r="AN93" i="3" s="1"/>
  <c r="AI54" i="3"/>
  <c r="AI6" i="3"/>
  <c r="AI15" i="3"/>
  <c r="AK20" i="3"/>
  <c r="AN20" i="3" s="1"/>
  <c r="AI92" i="3"/>
  <c r="AI25" i="3"/>
  <c r="AI39" i="3"/>
  <c r="AI55" i="3"/>
  <c r="AI68" i="3"/>
  <c r="AI101" i="3"/>
  <c r="AI38" i="3"/>
  <c r="AK52" i="3"/>
  <c r="AN52" i="3" s="1"/>
  <c r="AK26" i="3"/>
  <c r="AN26" i="3" s="1"/>
  <c r="AK117" i="3"/>
  <c r="AK55" i="3"/>
  <c r="AN55" i="3" s="1"/>
  <c r="AK58" i="3"/>
  <c r="AN58" i="3" s="1"/>
  <c r="AK24" i="3"/>
  <c r="AN24" i="3" s="1"/>
  <c r="AI96" i="3"/>
  <c r="AI109" i="3"/>
  <c r="AI124" i="3"/>
  <c r="AI43" i="3"/>
  <c r="AK23" i="3"/>
  <c r="AN23" i="3" s="1"/>
  <c r="AI93" i="3"/>
  <c r="AI45" i="3"/>
  <c r="AI108" i="3"/>
  <c r="AK50" i="3"/>
  <c r="AN50" i="3" s="1"/>
  <c r="AK100" i="3"/>
  <c r="AN100" i="3" s="1"/>
  <c r="AK112" i="3"/>
  <c r="AN112" i="3" s="1"/>
  <c r="AK108" i="3"/>
  <c r="AN108" i="3" s="1"/>
  <c r="AI27" i="3"/>
  <c r="AI110" i="3"/>
  <c r="AK27" i="3"/>
  <c r="AN27" i="3" s="1"/>
  <c r="AI71" i="3"/>
  <c r="AI103" i="3"/>
  <c r="AI30" i="3"/>
  <c r="AK96" i="3"/>
  <c r="AI84" i="3"/>
  <c r="AI23" i="3"/>
  <c r="AI29" i="3"/>
  <c r="AI26" i="3"/>
  <c r="AI118" i="3"/>
  <c r="AI86" i="3"/>
  <c r="AK62" i="3"/>
  <c r="AK51" i="3"/>
  <c r="AN51" i="3" s="1"/>
  <c r="AK90" i="3"/>
  <c r="AN90" i="3" s="1"/>
  <c r="AK33" i="3"/>
  <c r="AN33" i="3" s="1"/>
  <c r="AK83" i="3"/>
  <c r="AI114" i="3"/>
  <c r="AI44" i="3"/>
  <c r="AI123" i="3"/>
  <c r="R72" i="20" s="1" a="1"/>
  <c r="R72" i="20" s="1"/>
  <c r="AI100" i="3"/>
  <c r="AK14" i="3"/>
  <c r="AN14" i="3" s="1"/>
  <c r="AK92" i="3"/>
  <c r="AN92" i="3" s="1"/>
  <c r="AK19" i="3"/>
  <c r="AN19" i="3" s="1"/>
  <c r="AI49" i="3"/>
  <c r="AI116" i="3"/>
  <c r="AI56" i="3"/>
  <c r="AI69" i="3"/>
  <c r="AI90" i="3"/>
  <c r="AI52" i="3"/>
  <c r="AK86" i="3"/>
  <c r="AN86" i="3" s="1"/>
  <c r="AK122" i="3"/>
  <c r="AN122" i="3" s="1"/>
  <c r="AK78" i="3"/>
  <c r="AN78" i="3" s="1"/>
  <c r="AK21" i="3"/>
  <c r="AN21" i="3" s="1"/>
  <c r="AK84" i="3"/>
  <c r="AN84" i="3" s="1"/>
  <c r="AK11" i="3"/>
  <c r="AN11" i="3" s="1"/>
  <c r="AI62" i="3"/>
  <c r="AK125" i="3"/>
  <c r="AK77" i="3"/>
  <c r="AN77" i="3" s="1"/>
  <c r="AI112" i="3"/>
  <c r="AI46" i="3"/>
  <c r="AI4" i="3"/>
  <c r="AI113" i="3"/>
  <c r="AI21" i="3"/>
  <c r="AK118" i="3"/>
  <c r="AN118" i="3" s="1"/>
  <c r="AK115" i="3"/>
  <c r="AN115" i="3" s="1"/>
  <c r="AK121" i="3"/>
  <c r="AN121" i="3" s="1"/>
  <c r="AK53" i="3"/>
  <c r="AN53" i="3" s="1"/>
  <c r="AK106" i="3"/>
  <c r="AN106" i="3" s="1"/>
  <c r="AK103" i="3"/>
  <c r="AN103" i="3" s="1"/>
  <c r="AI81" i="3"/>
  <c r="AI50" i="3"/>
  <c r="AI83" i="3"/>
  <c r="AI33" i="3"/>
  <c r="AI98" i="3"/>
  <c r="AI106" i="3"/>
  <c r="AK34" i="3"/>
  <c r="AN34" i="3" s="1"/>
  <c r="AI19" i="3"/>
  <c r="AI5" i="3"/>
  <c r="AI115" i="3"/>
  <c r="AI32" i="3"/>
  <c r="AK25" i="3"/>
  <c r="AN25" i="3" s="1"/>
  <c r="AK4" i="3"/>
  <c r="AN4" i="3" s="1"/>
  <c r="AK30" i="3"/>
  <c r="AK110" i="3"/>
  <c r="AN110" i="3" s="1"/>
  <c r="AK6" i="3"/>
  <c r="AN6" i="3" s="1"/>
  <c r="AK35" i="3"/>
  <c r="AN35" i="3" s="1"/>
  <c r="AK45" i="3"/>
  <c r="AN45" i="3" s="1"/>
  <c r="AK75" i="3"/>
  <c r="AN75" i="3" s="1"/>
  <c r="AI78" i="3"/>
  <c r="AI35" i="3"/>
  <c r="AK72" i="3"/>
  <c r="AN72" i="3" s="1"/>
  <c r="AI14" i="3"/>
  <c r="AI20" i="3"/>
  <c r="AI48" i="3"/>
  <c r="AI12" i="3"/>
  <c r="AI8" i="3"/>
  <c r="AI47" i="3"/>
  <c r="AK69" i="3"/>
  <c r="AN69" i="3" s="1"/>
  <c r="AK3" i="3"/>
  <c r="AN3" i="3" s="1"/>
  <c r="AK28" i="3"/>
  <c r="AN28" i="3" s="1"/>
  <c r="AK32" i="3"/>
  <c r="AN32" i="3" s="1"/>
  <c r="AK101" i="3"/>
  <c r="AN101" i="3" s="1"/>
  <c r="AK81" i="3"/>
  <c r="AN81" i="3" s="1"/>
  <c r="AI70" i="3"/>
  <c r="AI51" i="3"/>
  <c r="AK9" i="3"/>
  <c r="AN9" i="3" s="1"/>
  <c r="AK44" i="3"/>
  <c r="AN44" i="3" s="1"/>
  <c r="AI105" i="3"/>
  <c r="AI91" i="3"/>
  <c r="AI67" i="3"/>
  <c r="AI28" i="3"/>
  <c r="AI122" i="3"/>
  <c r="AI125" i="3"/>
  <c r="R73" i="20" s="1" a="1"/>
  <c r="R73" i="20" s="1"/>
  <c r="AK105" i="3"/>
  <c r="AN105" i="3" s="1"/>
  <c r="AK91" i="3"/>
  <c r="AN91" i="3" s="1"/>
  <c r="AK70" i="3"/>
  <c r="AN70" i="3" s="1"/>
  <c r="AK47" i="3"/>
  <c r="AN47" i="3" s="1"/>
  <c r="AK39" i="3"/>
  <c r="AN39" i="3" s="1"/>
  <c r="BL2" i="3"/>
  <c r="BM2" i="3"/>
  <c r="BI2" i="3"/>
  <c r="BK2" i="3"/>
  <c r="BJ2" i="3"/>
  <c r="BH2" i="3"/>
  <c r="R70" i="20" l="1" a="1"/>
  <c r="R70" i="20" s="1"/>
  <c r="R71" i="20" a="1"/>
  <c r="R71" i="20" s="1"/>
  <c r="R65" i="20" a="1"/>
  <c r="R65" i="20" s="1"/>
  <c r="R64" i="20" a="1"/>
  <c r="R64" i="20" s="1"/>
  <c r="R52" i="20"/>
  <c r="D24" i="21"/>
  <c r="R62" i="20" a="1"/>
  <c r="R62" i="20" s="1"/>
  <c r="P70" i="20" a="1"/>
  <c r="P70" i="20" s="1"/>
  <c r="AN116" i="3"/>
  <c r="P73" i="20" a="1"/>
  <c r="P73" i="20" s="1"/>
  <c r="AN125" i="3"/>
  <c r="P66" i="20" a="1"/>
  <c r="P66" i="20" s="1"/>
  <c r="AN96" i="3"/>
  <c r="P72" i="20" a="1"/>
  <c r="P72" i="20" s="1"/>
  <c r="AN123" i="3"/>
  <c r="P64" i="20" a="1"/>
  <c r="P64" i="20" s="1"/>
  <c r="AN83" i="3"/>
  <c r="P65" i="20" a="1"/>
  <c r="P65" i="20" s="1"/>
  <c r="AN62" i="3"/>
  <c r="P52" i="20"/>
  <c r="C20" i="21" s="1"/>
  <c r="C21" i="21" s="1"/>
  <c r="AN30" i="3"/>
  <c r="P71" i="20" a="1"/>
  <c r="P71" i="20" s="1"/>
  <c r="AN117" i="3"/>
  <c r="P62" i="20" a="1"/>
  <c r="P62" i="20" s="1"/>
  <c r="AN17" i="3"/>
  <c r="AO101" i="3"/>
  <c r="P68" i="20" a="1"/>
  <c r="P68" i="20" s="1"/>
  <c r="R69" i="20" a="1"/>
  <c r="R69" i="20" s="1"/>
  <c r="P63" i="20" a="1"/>
  <c r="P63" i="20" s="1"/>
  <c r="R67" i="20" a="1"/>
  <c r="R67" i="20" s="1"/>
  <c r="R66" i="20" a="1"/>
  <c r="R66" i="20" s="1"/>
  <c r="P69" i="20" a="1"/>
  <c r="P69" i="20" s="1"/>
  <c r="P67" i="20" a="1"/>
  <c r="P67" i="20" s="1"/>
  <c r="R68" i="20" a="1"/>
  <c r="R68" i="20" s="1"/>
  <c r="R63" i="20" a="1"/>
  <c r="R63" i="20" s="1"/>
  <c r="BG3" i="3"/>
  <c r="AO100" i="3" l="1"/>
  <c r="BI3" i="3"/>
  <c r="BM3" i="3"/>
  <c r="BL3" i="3"/>
  <c r="BK3" i="3"/>
  <c r="BJ3" i="3"/>
  <c r="BH3" i="3"/>
  <c r="BG4" i="3" l="1"/>
  <c r="BI4" i="3" l="1"/>
  <c r="BM4" i="3"/>
  <c r="BL4" i="3"/>
  <c r="BG5" i="3"/>
  <c r="BK4" i="3"/>
  <c r="BJ4" i="3"/>
  <c r="BH4" i="3"/>
  <c r="BI5" i="3" l="1"/>
  <c r="BM5" i="3"/>
  <c r="BL5" i="3"/>
  <c r="BH5" i="3"/>
  <c r="BK5" i="3"/>
  <c r="BJ5" i="3"/>
  <c r="BG6" i="3"/>
  <c r="BI6" i="3" l="1"/>
  <c r="BM6" i="3"/>
  <c r="BL6" i="3"/>
  <c r="BG7" i="3"/>
  <c r="BJ6" i="3"/>
  <c r="BK6" i="3"/>
  <c r="BH6" i="3"/>
  <c r="BI7" i="3" l="1"/>
  <c r="BM7" i="3"/>
  <c r="BL7" i="3"/>
  <c r="BG8" i="3"/>
  <c r="BH7" i="3"/>
  <c r="BK7" i="3"/>
  <c r="BJ7" i="3"/>
  <c r="BI8" i="3" l="1"/>
  <c r="BM8" i="3"/>
  <c r="BL8" i="3"/>
  <c r="BG9" i="3"/>
  <c r="BH8" i="3"/>
  <c r="BJ8" i="3"/>
  <c r="BK8" i="3"/>
  <c r="BI9" i="3" l="1"/>
  <c r="BL9" i="3"/>
  <c r="BM9" i="3"/>
  <c r="BH9" i="3"/>
  <c r="BK9" i="3"/>
  <c r="BG10" i="3"/>
  <c r="BJ9" i="3"/>
  <c r="BJ10" i="3"/>
  <c r="BK10" i="3"/>
  <c r="BG11" i="3"/>
  <c r="BH10" i="3"/>
  <c r="BI11" i="3" l="1"/>
  <c r="BM11" i="3"/>
  <c r="BL11" i="3"/>
  <c r="BI10" i="3"/>
  <c r="BM10" i="3"/>
  <c r="BL10" i="3"/>
  <c r="BK11" i="3"/>
  <c r="BJ11" i="3"/>
  <c r="BH11" i="3"/>
  <c r="BG12" i="3"/>
  <c r="BI12" i="3" l="1"/>
  <c r="BM12" i="3"/>
  <c r="BL12" i="3"/>
  <c r="BK12" i="3"/>
  <c r="BJ12" i="3"/>
  <c r="BG13" i="3"/>
  <c r="BH12" i="3"/>
  <c r="BI13" i="3" l="1"/>
  <c r="BM13" i="3"/>
  <c r="BL13" i="3"/>
  <c r="BK13" i="3"/>
  <c r="BJ13" i="3"/>
  <c r="BH13" i="3"/>
  <c r="BG14" i="3"/>
  <c r="BI14" i="3" l="1"/>
  <c r="BL14" i="3"/>
  <c r="BM14" i="3"/>
  <c r="BK14" i="3"/>
  <c r="BJ14" i="3"/>
  <c r="BH14" i="3"/>
  <c r="BG15" i="3"/>
  <c r="BI15" i="3" l="1"/>
  <c r="BM15" i="3"/>
  <c r="BL15" i="3"/>
  <c r="BK15" i="3"/>
  <c r="BJ15" i="3"/>
  <c r="BG16" i="3"/>
  <c r="BH15" i="3"/>
  <c r="BI16" i="3" l="1"/>
  <c r="BL16" i="3"/>
  <c r="BM16" i="3"/>
  <c r="BK16" i="3"/>
  <c r="BJ16" i="3"/>
  <c r="BH16" i="3"/>
  <c r="BG17" i="3"/>
  <c r="BI17" i="3" l="1"/>
  <c r="BM17" i="3"/>
  <c r="BL17" i="3"/>
  <c r="BJ17" i="3"/>
  <c r="BK17" i="3"/>
  <c r="BG18" i="3"/>
  <c r="BH17" i="3"/>
  <c r="BI18" i="3" l="1"/>
  <c r="BL18" i="3"/>
  <c r="BM18" i="3"/>
  <c r="BG19" i="3"/>
  <c r="BK19" i="3" s="1"/>
  <c r="BJ19" i="3"/>
  <c r="BH18" i="3"/>
  <c r="BJ18" i="3"/>
  <c r="BK18" i="3"/>
  <c r="BI19" i="3" l="1"/>
  <c r="BL19" i="3"/>
  <c r="BM19" i="3"/>
  <c r="BG20" i="3"/>
  <c r="BH19" i="3"/>
  <c r="BK20" i="3"/>
  <c r="BJ20" i="3"/>
  <c r="BG21" i="3"/>
  <c r="BJ21" i="3" l="1"/>
  <c r="BL21" i="3"/>
  <c r="BM21" i="3"/>
  <c r="BI20" i="3"/>
  <c r="BL20" i="3"/>
  <c r="BM20" i="3"/>
  <c r="BH20" i="3"/>
  <c r="BK21" i="3"/>
  <c r="BI21" i="3"/>
  <c r="BG22" i="3"/>
  <c r="BH21" i="3"/>
  <c r="BM22" i="3" l="1"/>
  <c r="BL22" i="3"/>
  <c r="BI22" i="3"/>
  <c r="BH22" i="3"/>
  <c r="BG23" i="3"/>
  <c r="BJ22" i="3"/>
  <c r="BK22" i="3"/>
  <c r="BL23" i="3" l="1"/>
  <c r="BM23" i="3"/>
  <c r="BI23" i="3"/>
  <c r="BJ23" i="3"/>
  <c r="BK23" i="3"/>
  <c r="BG24" i="3"/>
  <c r="BH23" i="3"/>
  <c r="BM24" i="3" l="1"/>
  <c r="BL24" i="3"/>
  <c r="BI24" i="3"/>
  <c r="BK24" i="3"/>
  <c r="BJ24" i="3"/>
  <c r="BH24" i="3"/>
  <c r="BG25" i="3"/>
  <c r="BL25" i="3" l="1"/>
  <c r="BM25" i="3"/>
  <c r="BI25" i="3"/>
  <c r="BJ25" i="3"/>
  <c r="BG26" i="3"/>
  <c r="BH25" i="3"/>
  <c r="BK25" i="3"/>
  <c r="BL26" i="3" l="1"/>
  <c r="BM26" i="3"/>
  <c r="BI26" i="3"/>
  <c r="BK26" i="3"/>
  <c r="BJ26" i="3"/>
  <c r="BH26" i="3"/>
  <c r="BG27" i="3"/>
  <c r="BM27" i="3" l="1"/>
  <c r="BL27" i="3"/>
  <c r="BI27" i="3"/>
  <c r="BJ27" i="3"/>
  <c r="BG28" i="3"/>
  <c r="BK27" i="3"/>
  <c r="BH27" i="3"/>
  <c r="BL28" i="3" l="1"/>
  <c r="BM28" i="3"/>
  <c r="BI28" i="3"/>
  <c r="BK28" i="3"/>
  <c r="BJ28" i="3"/>
  <c r="BH28" i="3"/>
  <c r="BG29" i="3"/>
  <c r="BM29" i="3" l="1"/>
  <c r="BL29" i="3"/>
  <c r="BI29" i="3"/>
  <c r="BJ29" i="3"/>
  <c r="BH29" i="3"/>
  <c r="BK29" i="3"/>
  <c r="BG30" i="3"/>
  <c r="BM30" i="3" l="1"/>
  <c r="BL30" i="3"/>
  <c r="BI30" i="3"/>
  <c r="BK30" i="3"/>
  <c r="BG31" i="3"/>
  <c r="BH30" i="3"/>
  <c r="BJ30" i="3"/>
  <c r="BL31" i="3" l="1"/>
  <c r="BM31" i="3"/>
  <c r="BI31" i="3"/>
  <c r="BG32" i="3"/>
  <c r="BK31" i="3"/>
  <c r="BJ31" i="3"/>
  <c r="BH31" i="3"/>
  <c r="BM32" i="3" l="1"/>
  <c r="BL32" i="3"/>
  <c r="BI32" i="3"/>
  <c r="BG33" i="3"/>
  <c r="BK32" i="3"/>
  <c r="BH32" i="3"/>
  <c r="BJ32" i="3"/>
  <c r="BL33" i="3" l="1"/>
  <c r="BM33" i="3"/>
  <c r="BI33" i="3"/>
  <c r="BK33" i="3"/>
  <c r="BJ33" i="3"/>
  <c r="BH33" i="3"/>
  <c r="BG34" i="3"/>
  <c r="BM34" i="3" l="1"/>
  <c r="BL34" i="3"/>
  <c r="BI34" i="3"/>
  <c r="BJ34" i="3"/>
  <c r="BH34" i="3"/>
  <c r="BK34" i="3"/>
  <c r="BG35" i="3"/>
  <c r="BM35" i="3" l="1"/>
  <c r="BL35" i="3"/>
  <c r="BI35" i="3"/>
  <c r="BK35" i="3"/>
  <c r="BH35" i="3"/>
  <c r="BG36" i="3"/>
  <c r="BJ35" i="3"/>
  <c r="BL36" i="3" l="1"/>
  <c r="BM36" i="3"/>
  <c r="BI36" i="3"/>
  <c r="BJ36" i="3"/>
  <c r="BG37" i="3"/>
  <c r="BH36" i="3"/>
  <c r="BK36" i="3"/>
  <c r="BM37" i="3" l="1"/>
  <c r="BL37" i="3"/>
  <c r="BI37" i="3"/>
  <c r="BK37" i="3"/>
  <c r="BH37" i="3"/>
  <c r="BG38" i="3"/>
  <c r="BJ37" i="3"/>
  <c r="BL38" i="3" l="1"/>
  <c r="BM38" i="3"/>
  <c r="BI38" i="3"/>
  <c r="BJ38" i="3"/>
  <c r="BH38" i="3"/>
  <c r="BG39" i="3"/>
  <c r="BK38" i="3"/>
  <c r="BM39" i="3" l="1"/>
  <c r="BL39" i="3"/>
  <c r="BI39" i="3"/>
  <c r="BJ39" i="3"/>
  <c r="BK39" i="3"/>
  <c r="BH39" i="3"/>
  <c r="BG40" i="3"/>
  <c r="BL40" i="3" l="1"/>
  <c r="BM40" i="3"/>
  <c r="BI40" i="3"/>
  <c r="BH40" i="3"/>
  <c r="BK40" i="3"/>
  <c r="BJ40" i="3"/>
  <c r="BG41" i="3"/>
  <c r="BM41" i="3" l="1"/>
  <c r="BL41" i="3"/>
  <c r="BI41" i="3"/>
  <c r="BJ41" i="3"/>
  <c r="BK41" i="3"/>
  <c r="BG42" i="3"/>
  <c r="BH41" i="3"/>
  <c r="BM42" i="3" l="1"/>
  <c r="BL42" i="3"/>
  <c r="BI42" i="3"/>
  <c r="BJ42" i="3"/>
  <c r="BK42" i="3"/>
  <c r="BG43" i="3"/>
  <c r="BH42" i="3"/>
  <c r="BM43" i="3" l="1"/>
  <c r="BL43" i="3"/>
  <c r="BI43" i="3"/>
  <c r="BJ43" i="3"/>
  <c r="BH43" i="3"/>
  <c r="BK43" i="3"/>
  <c r="BG44" i="3"/>
  <c r="BM44" i="3" l="1"/>
  <c r="BL44" i="3"/>
  <c r="BI44" i="3"/>
  <c r="BG45" i="3"/>
  <c r="BH44" i="3"/>
  <c r="BJ44" i="3"/>
  <c r="BK44" i="3"/>
  <c r="BM45" i="3" l="1"/>
  <c r="BL45" i="3"/>
  <c r="BI45" i="3"/>
  <c r="BG46" i="3"/>
  <c r="BK45" i="3"/>
  <c r="BJ45" i="3"/>
  <c r="BH45" i="3"/>
  <c r="BM46" i="3" l="1"/>
  <c r="BL46" i="3"/>
  <c r="BI46" i="3"/>
  <c r="BJ46" i="3"/>
  <c r="BG47" i="3"/>
  <c r="BK46" i="3"/>
  <c r="BH46" i="3"/>
  <c r="BL47" i="3" l="1"/>
  <c r="BM47" i="3"/>
  <c r="BI47" i="3"/>
  <c r="BK47" i="3"/>
  <c r="BH47" i="3"/>
  <c r="BJ47" i="3"/>
  <c r="BG48" i="3"/>
  <c r="BM48" i="3" l="1"/>
  <c r="BL48" i="3"/>
  <c r="BI48" i="3"/>
  <c r="BG49" i="3"/>
  <c r="BJ48" i="3"/>
  <c r="BH48" i="3"/>
  <c r="BK48" i="3"/>
  <c r="BL49" i="3" l="1"/>
  <c r="BM49" i="3"/>
  <c r="BI49" i="3"/>
  <c r="BH49" i="3"/>
  <c r="BJ49" i="3"/>
  <c r="BG50" i="3"/>
  <c r="BK49" i="3"/>
  <c r="BM50" i="3" l="1"/>
  <c r="BL50" i="3"/>
  <c r="BI50" i="3"/>
  <c r="BJ50" i="3"/>
  <c r="BG51" i="3"/>
  <c r="BH50" i="3"/>
  <c r="BK50" i="3"/>
  <c r="BL51" i="3" l="1"/>
  <c r="BM51" i="3"/>
  <c r="BI51" i="3"/>
  <c r="BJ51" i="3"/>
  <c r="BK51" i="3"/>
  <c r="BH51" i="3"/>
  <c r="BG52" i="3"/>
  <c r="BM52" i="3" l="1"/>
  <c r="BL52" i="3"/>
  <c r="BI52" i="3"/>
  <c r="BH52" i="3"/>
  <c r="BG53" i="3"/>
  <c r="BJ52" i="3"/>
  <c r="BK52" i="3"/>
  <c r="BM53" i="3" l="1"/>
  <c r="BL53" i="3"/>
  <c r="BI53" i="3"/>
  <c r="BK53" i="3"/>
  <c r="BJ53" i="3"/>
  <c r="BG54" i="3"/>
  <c r="BH53" i="3"/>
  <c r="BL54" i="3" l="1"/>
  <c r="BM54" i="3"/>
  <c r="BI54" i="3"/>
  <c r="BK54" i="3"/>
  <c r="BJ54" i="3"/>
  <c r="BG55" i="3"/>
  <c r="BH54" i="3"/>
  <c r="BM55" i="3" l="1"/>
  <c r="BL55" i="3"/>
  <c r="BI55" i="3"/>
  <c r="BJ55" i="3"/>
  <c r="BK55" i="3"/>
  <c r="BG56" i="3"/>
  <c r="BH55" i="3"/>
  <c r="BL56" i="3" l="1"/>
  <c r="BM56" i="3"/>
  <c r="BI56" i="3"/>
  <c r="BH56" i="3"/>
  <c r="BG57" i="3"/>
  <c r="BK56" i="3"/>
  <c r="BJ56" i="3"/>
  <c r="BL57" i="3" l="1"/>
  <c r="BM57" i="3"/>
  <c r="BI57" i="3"/>
  <c r="BG58" i="3"/>
  <c r="BH57" i="3"/>
  <c r="BK57" i="3"/>
  <c r="BJ57" i="3"/>
  <c r="BL58" i="3" l="1"/>
  <c r="BM58" i="3"/>
  <c r="BI58" i="3"/>
  <c r="BJ58" i="3"/>
  <c r="BH58" i="3"/>
  <c r="BK58" i="3"/>
  <c r="BG59" i="3"/>
  <c r="BM59" i="3" l="1"/>
  <c r="BL59" i="3"/>
  <c r="BI59" i="3"/>
  <c r="BG60" i="3"/>
  <c r="BJ59" i="3"/>
  <c r="BK59" i="3"/>
  <c r="BH59" i="3"/>
  <c r="BL60" i="3" l="1"/>
  <c r="BM60" i="3"/>
  <c r="BI60" i="3"/>
  <c r="BK60" i="3"/>
  <c r="BH60" i="3"/>
  <c r="BG61" i="3"/>
  <c r="BJ60" i="3"/>
  <c r="BL61" i="3" l="1"/>
  <c r="BM61" i="3"/>
  <c r="BI61" i="3"/>
  <c r="BK61" i="3"/>
  <c r="BJ61" i="3"/>
  <c r="BG62" i="3"/>
  <c r="BH61" i="3"/>
  <c r="BM62" i="3" l="1"/>
  <c r="BL62" i="3"/>
  <c r="BI62" i="3"/>
  <c r="BK62" i="3"/>
  <c r="BJ62" i="3"/>
  <c r="BH62" i="3"/>
  <c r="BG63" i="3"/>
  <c r="BM63" i="3" l="1"/>
  <c r="BL63" i="3"/>
  <c r="BI63" i="3"/>
  <c r="BK63" i="3"/>
  <c r="BJ63" i="3"/>
  <c r="BH63" i="3"/>
  <c r="BG64" i="3"/>
  <c r="BL64" i="3" l="1"/>
  <c r="BM64" i="3"/>
  <c r="BI64" i="3"/>
  <c r="BK64" i="3"/>
  <c r="BJ64" i="3"/>
  <c r="BH64" i="3"/>
  <c r="BG65" i="3"/>
  <c r="BM65" i="3" l="1"/>
  <c r="BL65" i="3"/>
  <c r="BI65" i="3"/>
  <c r="BJ65" i="3"/>
  <c r="BK65" i="3"/>
  <c r="BG66" i="3"/>
  <c r="BH65" i="3"/>
  <c r="BM66" i="3" l="1"/>
  <c r="BL66" i="3"/>
  <c r="BI66" i="3"/>
  <c r="BJ66" i="3"/>
  <c r="BG67" i="3"/>
  <c r="BH66" i="3"/>
  <c r="BK66" i="3"/>
  <c r="BM67" i="3" l="1"/>
  <c r="BL67" i="3"/>
  <c r="BI67" i="3"/>
  <c r="BG68" i="3"/>
  <c r="BH67" i="3"/>
  <c r="BJ67" i="3"/>
  <c r="BK67" i="3"/>
  <c r="BM68" i="3" l="1"/>
  <c r="BL68" i="3"/>
  <c r="BI68" i="3"/>
  <c r="BH68" i="3"/>
  <c r="BJ68" i="3"/>
  <c r="BK68" i="3"/>
  <c r="BG69" i="3"/>
  <c r="BL69" i="3" l="1"/>
  <c r="BM69" i="3"/>
  <c r="BI69" i="3"/>
  <c r="BK69" i="3"/>
  <c r="BG70" i="3"/>
  <c r="BJ69" i="3"/>
  <c r="BH69" i="3"/>
  <c r="BM70" i="3" l="1"/>
  <c r="BL70" i="3"/>
  <c r="BI70" i="3"/>
  <c r="BK70" i="3"/>
  <c r="BJ70" i="3"/>
  <c r="BG71" i="3"/>
  <c r="BH70" i="3"/>
  <c r="BM71" i="3" l="1"/>
  <c r="BL71" i="3"/>
  <c r="BI71" i="3"/>
  <c r="BJ71" i="3"/>
  <c r="BG72" i="3"/>
  <c r="BH71" i="3"/>
  <c r="BK71" i="3"/>
  <c r="BM72" i="3" l="1"/>
  <c r="BL72" i="3"/>
  <c r="BI72" i="3"/>
  <c r="BH72" i="3"/>
  <c r="BK72" i="3"/>
  <c r="BG73" i="3"/>
  <c r="BJ72" i="3"/>
  <c r="BL73" i="3" l="1"/>
  <c r="BM73" i="3"/>
  <c r="BI73" i="3"/>
  <c r="BK73" i="3"/>
  <c r="BH73" i="3"/>
  <c r="BJ73" i="3"/>
  <c r="BG74" i="3"/>
  <c r="BM74" i="3" l="1"/>
  <c r="BL74" i="3"/>
  <c r="BI74" i="3"/>
  <c r="BJ74" i="3"/>
  <c r="BG75" i="3"/>
  <c r="BH74" i="3"/>
  <c r="BK74" i="3"/>
  <c r="BL75" i="3" l="1"/>
  <c r="BM75" i="3"/>
  <c r="BI75" i="3"/>
  <c r="BK75" i="3"/>
  <c r="BG76" i="3"/>
  <c r="BJ75" i="3"/>
  <c r="BH75" i="3"/>
  <c r="BM76" i="3" l="1"/>
  <c r="BL76" i="3"/>
  <c r="BI76" i="3"/>
  <c r="BK76" i="3"/>
  <c r="BJ76" i="3"/>
  <c r="BG77" i="3"/>
  <c r="BH76" i="3"/>
  <c r="BL77" i="3" l="1"/>
  <c r="BM77" i="3"/>
  <c r="BI77" i="3"/>
  <c r="BK77" i="3"/>
  <c r="BJ77" i="3"/>
  <c r="BH77" i="3"/>
  <c r="BG78" i="3"/>
  <c r="BL78" i="3" l="1"/>
  <c r="BM78" i="3"/>
  <c r="BI78" i="3"/>
  <c r="BK78" i="3"/>
  <c r="BJ78" i="3"/>
  <c r="BH78" i="3"/>
  <c r="BG79" i="3"/>
  <c r="BL79" i="3" l="1"/>
  <c r="BM79" i="3"/>
  <c r="BI79" i="3"/>
  <c r="BK79" i="3"/>
  <c r="BH79" i="3"/>
  <c r="BG80" i="3"/>
  <c r="BJ79" i="3"/>
  <c r="BM80" i="3" l="1"/>
  <c r="BL80" i="3"/>
  <c r="BI80" i="3"/>
  <c r="BK80" i="3"/>
  <c r="BJ80" i="3"/>
  <c r="BG81" i="3"/>
  <c r="BH80" i="3"/>
  <c r="BL81" i="3" l="1"/>
  <c r="BM81" i="3"/>
  <c r="BI81" i="3"/>
  <c r="BK81" i="3"/>
  <c r="BG82" i="3"/>
  <c r="BJ81" i="3"/>
  <c r="BH81" i="3"/>
  <c r="BL82" i="3" l="1"/>
  <c r="BM82" i="3"/>
  <c r="BI82" i="3"/>
  <c r="BJ82" i="3"/>
  <c r="BG83" i="3"/>
  <c r="BK82" i="3"/>
  <c r="BH82" i="3"/>
  <c r="BM83" i="3" l="1"/>
  <c r="BL83" i="3"/>
  <c r="BI83" i="3"/>
  <c r="BK83" i="3"/>
  <c r="BH83" i="3"/>
  <c r="BJ83" i="3"/>
  <c r="BG84" i="3"/>
  <c r="BM84" i="3" l="1"/>
  <c r="BL84" i="3"/>
  <c r="BI84" i="3"/>
  <c r="BJ84" i="3"/>
  <c r="BG85" i="3"/>
  <c r="BK84" i="3"/>
  <c r="BH84" i="3"/>
  <c r="BL85" i="3" l="1"/>
  <c r="BM85" i="3"/>
  <c r="BI85" i="3"/>
  <c r="BK85" i="3"/>
  <c r="BH85" i="3"/>
  <c r="BG86" i="3"/>
  <c r="BJ85" i="3"/>
  <c r="BL86" i="3" l="1"/>
  <c r="BM86" i="3"/>
  <c r="BI86" i="3"/>
  <c r="BK86" i="3"/>
  <c r="BH86" i="3"/>
  <c r="BJ86" i="3"/>
  <c r="BG87" i="3"/>
  <c r="BM87" i="3" l="1"/>
  <c r="BL87" i="3"/>
  <c r="BI87" i="3"/>
  <c r="BK87" i="3"/>
  <c r="BH87" i="3"/>
  <c r="BJ87" i="3"/>
  <c r="BG88" i="3"/>
  <c r="BL88" i="3" l="1"/>
  <c r="BM88" i="3"/>
  <c r="BI88" i="3"/>
  <c r="BJ88" i="3"/>
  <c r="BK88" i="3"/>
  <c r="BG89" i="3"/>
  <c r="BH88" i="3"/>
  <c r="BM89" i="3" l="1"/>
  <c r="BL89" i="3"/>
  <c r="BI89" i="3"/>
  <c r="BH89" i="3"/>
  <c r="BK89" i="3"/>
  <c r="BG90" i="3"/>
  <c r="BJ89" i="3"/>
  <c r="BL90" i="3" l="1"/>
  <c r="BM90" i="3"/>
  <c r="BI90" i="3"/>
  <c r="BH90" i="3"/>
  <c r="BJ90" i="3"/>
  <c r="BG91" i="3"/>
  <c r="BK90" i="3"/>
  <c r="BL91" i="3" l="1"/>
  <c r="BM91" i="3"/>
  <c r="BI91" i="3"/>
  <c r="BG92" i="3"/>
  <c r="BK91" i="3"/>
  <c r="BH91" i="3"/>
  <c r="BJ91" i="3"/>
  <c r="BL92" i="3" l="1"/>
  <c r="BM92" i="3"/>
  <c r="BI92" i="3"/>
  <c r="BJ92" i="3"/>
  <c r="BK92" i="3"/>
  <c r="BG93" i="3"/>
  <c r="BH92" i="3"/>
  <c r="BL93" i="3" l="1"/>
  <c r="BM93" i="3"/>
  <c r="BI93" i="3"/>
  <c r="BK93" i="3"/>
  <c r="BJ93" i="3"/>
  <c r="BH93" i="3"/>
  <c r="BG94" i="3"/>
  <c r="BM94" i="3" l="1"/>
  <c r="BL94" i="3"/>
  <c r="BI94" i="3"/>
  <c r="BK94" i="3"/>
  <c r="BG95" i="3"/>
  <c r="BH94" i="3"/>
  <c r="BJ94" i="3"/>
  <c r="BL95" i="3" l="1"/>
  <c r="BM95" i="3"/>
  <c r="BI95" i="3"/>
  <c r="BH95" i="3"/>
  <c r="BJ95" i="3"/>
  <c r="BK95" i="3"/>
  <c r="BG96" i="3"/>
  <c r="BM96" i="3" l="1"/>
  <c r="BL96" i="3"/>
  <c r="BI96" i="3"/>
  <c r="BJ96" i="3"/>
  <c r="BG97" i="3"/>
  <c r="BH96" i="3"/>
  <c r="BK96" i="3"/>
  <c r="BM97" i="3" l="1"/>
  <c r="BL97" i="3"/>
  <c r="BI97" i="3"/>
  <c r="BJ97" i="3"/>
  <c r="BG98" i="3"/>
  <c r="BK97" i="3"/>
  <c r="BH97" i="3"/>
  <c r="BL98" i="3" l="1"/>
  <c r="BM98" i="3"/>
  <c r="BI98" i="3"/>
  <c r="BJ98" i="3"/>
  <c r="BK98" i="3"/>
  <c r="BG99" i="3"/>
  <c r="BH98" i="3"/>
  <c r="BL99" i="3" l="1"/>
  <c r="BM99" i="3"/>
  <c r="BI99" i="3"/>
  <c r="BK99" i="3"/>
  <c r="BH99" i="3"/>
  <c r="BG100" i="3"/>
  <c r="BJ99" i="3"/>
  <c r="BM100" i="3" l="1"/>
  <c r="BL100" i="3"/>
  <c r="BI100" i="3"/>
  <c r="BK100" i="3"/>
  <c r="BH100" i="3"/>
  <c r="BJ100" i="3"/>
  <c r="BG101" i="3"/>
  <c r="BM101" i="3" l="1"/>
  <c r="BL101" i="3"/>
  <c r="BI101" i="3"/>
  <c r="BG102" i="3"/>
  <c r="BK101" i="3"/>
  <c r="BJ101" i="3"/>
  <c r="BH101" i="3"/>
  <c r="BL102" i="3" l="1"/>
  <c r="BM102" i="3"/>
  <c r="BI102" i="3"/>
  <c r="BK102" i="3"/>
  <c r="BG103" i="3"/>
  <c r="BJ102" i="3"/>
  <c r="BH102" i="3"/>
  <c r="BL103" i="3" l="1"/>
  <c r="BM103" i="3"/>
  <c r="BI103" i="3"/>
  <c r="BJ103" i="3"/>
  <c r="BK103" i="3"/>
  <c r="BH103" i="3"/>
  <c r="BG104" i="3"/>
  <c r="BL104" i="3" l="1"/>
  <c r="BM104" i="3"/>
  <c r="BI104" i="3"/>
  <c r="BK104" i="3"/>
  <c r="BJ104" i="3"/>
  <c r="BH104" i="3"/>
  <c r="BG105" i="3"/>
  <c r="BL105" i="3" l="1"/>
  <c r="BM105" i="3"/>
  <c r="BI105" i="3"/>
  <c r="BK105" i="3"/>
  <c r="BH105" i="3"/>
  <c r="BG106" i="3"/>
  <c r="BJ105" i="3"/>
  <c r="BL106" i="3" l="1"/>
  <c r="BM106" i="3"/>
  <c r="BI106" i="3"/>
  <c r="BJ106" i="3"/>
  <c r="BK106" i="3"/>
  <c r="BG107" i="3"/>
  <c r="BH106" i="3"/>
  <c r="BL107" i="3" l="1"/>
  <c r="BM107" i="3"/>
  <c r="BI107" i="3"/>
  <c r="BK107" i="3"/>
  <c r="BH107" i="3"/>
  <c r="BG108" i="3"/>
  <c r="BJ107" i="3"/>
  <c r="BM108" i="3" l="1"/>
  <c r="BL108" i="3"/>
  <c r="BI108" i="3"/>
  <c r="BJ108" i="3"/>
  <c r="BH108" i="3"/>
  <c r="BK108" i="3"/>
  <c r="BG109" i="3"/>
  <c r="BM109" i="3" l="1"/>
  <c r="BL109" i="3"/>
  <c r="BI109" i="3"/>
  <c r="BK109" i="3"/>
  <c r="BJ109" i="3"/>
  <c r="BH109" i="3"/>
  <c r="BG110" i="3"/>
  <c r="BL110" i="3" l="1"/>
  <c r="BM110" i="3"/>
  <c r="BI110" i="3"/>
  <c r="BJ110" i="3"/>
  <c r="BK110" i="3"/>
  <c r="BH110" i="3"/>
  <c r="BG111" i="3"/>
  <c r="BM111" i="3" l="1"/>
  <c r="BL111" i="3"/>
  <c r="BI111" i="3"/>
  <c r="BG112" i="3"/>
  <c r="BK111" i="3"/>
  <c r="BH111" i="3"/>
  <c r="BJ111" i="3"/>
  <c r="BL112" i="3" l="1"/>
  <c r="BM112" i="3"/>
  <c r="BI112" i="3"/>
  <c r="BK112" i="3"/>
  <c r="BH112" i="3"/>
  <c r="BG113" i="3"/>
  <c r="BJ112" i="3"/>
  <c r="BL113" i="3" l="1"/>
  <c r="BM113" i="3"/>
  <c r="BI113" i="3"/>
  <c r="BK113" i="3"/>
  <c r="BH113" i="3"/>
  <c r="BJ113" i="3"/>
  <c r="BG114" i="3"/>
  <c r="BM114" i="3" l="1"/>
  <c r="BL114" i="3"/>
  <c r="BI114" i="3"/>
  <c r="BJ114" i="3"/>
  <c r="BK114" i="3"/>
  <c r="BH114" i="3"/>
  <c r="BG115" i="3"/>
  <c r="BL115" i="3" l="1"/>
  <c r="BM115" i="3"/>
  <c r="BI115" i="3"/>
  <c r="BJ115" i="3"/>
  <c r="BG116" i="3"/>
  <c r="BK115" i="3"/>
  <c r="BH115" i="3"/>
  <c r="BL116" i="3" l="1"/>
  <c r="BM116" i="3"/>
  <c r="BI116" i="3"/>
  <c r="BJ116" i="3"/>
  <c r="BH116" i="3"/>
  <c r="BG117" i="3"/>
  <c r="BK116" i="3"/>
  <c r="BL117" i="3" l="1"/>
  <c r="BM117" i="3"/>
  <c r="BI117" i="3"/>
  <c r="BK117" i="3"/>
  <c r="BJ117" i="3"/>
  <c r="BH117" i="3"/>
  <c r="BG118" i="3"/>
  <c r="BM118" i="3" l="1"/>
  <c r="BL118" i="3"/>
  <c r="BI118" i="3"/>
  <c r="BK118" i="3"/>
  <c r="BJ118" i="3"/>
  <c r="BH118" i="3"/>
  <c r="BG119" i="3"/>
  <c r="BM119" i="3" l="1"/>
  <c r="BL119" i="3"/>
  <c r="BI119" i="3"/>
  <c r="BK119" i="3"/>
  <c r="BG120" i="3"/>
  <c r="BJ119" i="3"/>
  <c r="BH119" i="3"/>
  <c r="BM120" i="3" l="1"/>
  <c r="BL120" i="3"/>
  <c r="BI120" i="3"/>
  <c r="BH120" i="3"/>
  <c r="BJ120" i="3"/>
  <c r="BK120" i="3"/>
  <c r="BG121" i="3"/>
  <c r="BL121" i="3" l="1"/>
  <c r="BM121" i="3"/>
  <c r="BI121" i="3"/>
  <c r="BH121" i="3"/>
  <c r="BK121" i="3"/>
  <c r="BG122" i="3"/>
  <c r="BJ121" i="3"/>
  <c r="BL122" i="3" l="1"/>
  <c r="BM122" i="3"/>
  <c r="BI122" i="3"/>
  <c r="BJ122" i="3"/>
  <c r="BG123" i="3"/>
  <c r="BK122" i="3"/>
  <c r="BH122" i="3"/>
  <c r="BM123" i="3" l="1"/>
  <c r="BL123" i="3"/>
  <c r="BI123" i="3"/>
  <c r="BK123" i="3"/>
  <c r="BJ123" i="3"/>
  <c r="BG124" i="3"/>
  <c r="BH123" i="3"/>
  <c r="BL124" i="3" l="1"/>
  <c r="BM124" i="3"/>
  <c r="BI124" i="3"/>
  <c r="BG125" i="3"/>
  <c r="BH124" i="3"/>
  <c r="BJ124" i="3"/>
  <c r="BK124" i="3"/>
  <c r="BL125" i="3" l="1"/>
  <c r="BM125" i="3"/>
  <c r="BI125" i="3"/>
  <c r="BK125" i="3"/>
  <c r="BH125" i="3"/>
  <c r="BG126" i="3"/>
  <c r="BJ125" i="3"/>
  <c r="BL126" i="3" l="1"/>
  <c r="BM126" i="3"/>
  <c r="BI126" i="3"/>
  <c r="BK126" i="3"/>
  <c r="BH126" i="3"/>
  <c r="BJ126" i="3"/>
  <c r="BG127" i="3"/>
  <c r="BL127" i="3" l="1"/>
  <c r="BM127" i="3"/>
  <c r="BI127" i="3"/>
  <c r="BK127" i="3"/>
  <c r="BH127" i="3"/>
  <c r="BJ12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<sst xmlns="http://schemas.openxmlformats.org/spreadsheetml/2006/main" count="2586" uniqueCount="647">
  <si>
    <t>ONS Alliance Code</t>
  </si>
  <si>
    <t>alliance_code</t>
  </si>
  <si>
    <t>alliance_name</t>
  </si>
  <si>
    <t>n</t>
  </si>
  <si>
    <t>n_nsclc</t>
  </si>
  <si>
    <t>n_sclc</t>
  </si>
  <si>
    <t>stage4_p</t>
  </si>
  <si>
    <t>ps0_1_p</t>
  </si>
  <si>
    <t>histconfirmed_p</t>
  </si>
  <si>
    <t>surgery_p</t>
  </si>
  <si>
    <t>chemo_p</t>
  </si>
  <si>
    <t>sact_p</t>
  </si>
  <si>
    <t>cns_p</t>
  </si>
  <si>
    <t>emergency_p</t>
  </si>
  <si>
    <t>Alliance Num</t>
  </si>
  <si>
    <t>Alliance Rank</t>
  </si>
  <si>
    <t>A01</t>
  </si>
  <si>
    <t>E56000005</t>
  </si>
  <si>
    <t>Cheshire and Merseyside</t>
  </si>
  <si>
    <t>A02</t>
  </si>
  <si>
    <t>E56000024</t>
  </si>
  <si>
    <t>East Midlands</t>
  </si>
  <si>
    <t>A03a</t>
  </si>
  <si>
    <t>E56000022</t>
  </si>
  <si>
    <t>East of England - North</t>
  </si>
  <si>
    <t>A03b</t>
  </si>
  <si>
    <t>E56000023</t>
  </si>
  <si>
    <t>East of England - South</t>
  </si>
  <si>
    <t>A04</t>
  </si>
  <si>
    <t>E56000019</t>
  </si>
  <si>
    <t>Greater Manchester</t>
  </si>
  <si>
    <t>A05</t>
  </si>
  <si>
    <t>E56000026</t>
  </si>
  <si>
    <t>Humber, Coast and Vale</t>
  </si>
  <si>
    <t>A06</t>
  </si>
  <si>
    <t>E56000011</t>
  </si>
  <si>
    <t>Kent and Medway</t>
  </si>
  <si>
    <t>A07</t>
  </si>
  <si>
    <t>E56000018</t>
  </si>
  <si>
    <t>Lancashire and South Cumbria</t>
  </si>
  <si>
    <t>A08a</t>
  </si>
  <si>
    <t>E56000027</t>
  </si>
  <si>
    <t>North Central London</t>
  </si>
  <si>
    <t>A08b</t>
  </si>
  <si>
    <t>E56000028</t>
  </si>
  <si>
    <t>North East London</t>
  </si>
  <si>
    <t>A09</t>
  </si>
  <si>
    <t>E56000029</t>
  </si>
  <si>
    <t>Northern</t>
  </si>
  <si>
    <t>A10</t>
  </si>
  <si>
    <t>E56000014</t>
  </si>
  <si>
    <t xml:space="preserve">Peninsula </t>
  </si>
  <si>
    <t>A11</t>
  </si>
  <si>
    <t>E56000015</t>
  </si>
  <si>
    <t>Somerset, Wiltshire, Avon &amp; Gloucestershire</t>
  </si>
  <si>
    <t>A12</t>
  </si>
  <si>
    <t>E56000010</t>
  </si>
  <si>
    <t>South East London</t>
  </si>
  <si>
    <t>A13</t>
  </si>
  <si>
    <t>E56000025</t>
  </si>
  <si>
    <t>South Yorkshire and Bassetlaw</t>
  </si>
  <si>
    <t>A14</t>
  </si>
  <si>
    <t>E56000012</t>
  </si>
  <si>
    <t>Surrey and Sussex</t>
  </si>
  <si>
    <t>A15</t>
  </si>
  <si>
    <t>E56000013</t>
  </si>
  <si>
    <t>Thames Valley</t>
  </si>
  <si>
    <t>A16</t>
  </si>
  <si>
    <t>E56000016</t>
  </si>
  <si>
    <t>Wessex</t>
  </si>
  <si>
    <t>A17</t>
  </si>
  <si>
    <t>E56000021</t>
  </si>
  <si>
    <t>A18</t>
  </si>
  <si>
    <t>E56000007</t>
  </si>
  <si>
    <t>West Midlands</t>
  </si>
  <si>
    <t>A19</t>
  </si>
  <si>
    <t>E56000030</t>
  </si>
  <si>
    <t>West Yorkshire and Harrogate</t>
  </si>
  <si>
    <t>trust_code</t>
  </si>
  <si>
    <t>trust_name</t>
  </si>
  <si>
    <t>R0A</t>
  </si>
  <si>
    <t>Manchester University NHS Foundation Trust</t>
  </si>
  <si>
    <t>R0B</t>
  </si>
  <si>
    <t>South Tyneside and Sunderland NHS Foundation Trust</t>
  </si>
  <si>
    <t>R0D</t>
  </si>
  <si>
    <t>University Hospitals Dorset NHS Foundation Trust</t>
  </si>
  <si>
    <t>R1F</t>
  </si>
  <si>
    <t>Isle of Wight NHS Trust</t>
  </si>
  <si>
    <t>R1H</t>
  </si>
  <si>
    <t>Barts Health NHS Trust</t>
  </si>
  <si>
    <t>R1K</t>
  </si>
  <si>
    <t>London North West Healthcare NHS Trust</t>
  </si>
  <si>
    <t>RA2</t>
  </si>
  <si>
    <t>Royal Surrey County Hospital NHS Foundation Trust</t>
  </si>
  <si>
    <t>RA4</t>
  </si>
  <si>
    <t>Yeovil District Hospital NHS Foundation Trust</t>
  </si>
  <si>
    <t>RA7</t>
  </si>
  <si>
    <t>University Hospitals Bristol and Weston NHS Foundation Trust</t>
  </si>
  <si>
    <t>Peninsula</t>
  </si>
  <si>
    <t>RA9</t>
  </si>
  <si>
    <t>Torbay and South Devon NHS Foundation Trust</t>
  </si>
  <si>
    <t>RAE</t>
  </si>
  <si>
    <t>Bradford Teaching Hospitals NHS Foundation Trust</t>
  </si>
  <si>
    <t>RAJ</t>
  </si>
  <si>
    <t>Mid and South Essex NHS Foundation Trust</t>
  </si>
  <si>
    <t>RAL</t>
  </si>
  <si>
    <t>Royal Free London NHS Foundation Trust</t>
  </si>
  <si>
    <t>RAP</t>
  </si>
  <si>
    <t>North Middlesex University Hospital NHS Trust</t>
  </si>
  <si>
    <t>RAS</t>
  </si>
  <si>
    <t>The Hillingdon Hospitals NHS Foundation Trust</t>
  </si>
  <si>
    <t>RAX</t>
  </si>
  <si>
    <t>Kingston Hospital NHS Foundation Trust</t>
  </si>
  <si>
    <t>RBD</t>
  </si>
  <si>
    <t>Dorset County Hospital NHS Foundation Trust</t>
  </si>
  <si>
    <t>RBK</t>
  </si>
  <si>
    <t>Walsall Healthcare NHS Trust</t>
  </si>
  <si>
    <t>RBL</t>
  </si>
  <si>
    <t>Wirral University Teaching Hospital NHS Foundation Trust</t>
  </si>
  <si>
    <t>RBN</t>
  </si>
  <si>
    <t>St Helens and Knowsley Hospital Services NHS Trust</t>
  </si>
  <si>
    <t>RBQ</t>
  </si>
  <si>
    <t>Liverpool Heart and Chest Hospital NHS Foundation Trust</t>
  </si>
  <si>
    <t>RBT</t>
  </si>
  <si>
    <t>Mid Cheshire Hospitals NHS Foundation Trust</t>
  </si>
  <si>
    <t>RBV</t>
  </si>
  <si>
    <t>The Christie NHS Foundation Trust</t>
  </si>
  <si>
    <t>RC9</t>
  </si>
  <si>
    <t>Bedfordshire Hospitals NHS Foundation Trust</t>
  </si>
  <si>
    <t>RCB</t>
  </si>
  <si>
    <t>York Teaching Hospital NHS Foundation Trust</t>
  </si>
  <si>
    <t>RCD</t>
  </si>
  <si>
    <t>Harrogate and District NHS Foundation Trust</t>
  </si>
  <si>
    <t>RCF</t>
  </si>
  <si>
    <t>Airedale NHS Foundation Trust</t>
  </si>
  <si>
    <t>RCX</t>
  </si>
  <si>
    <t>The Queen Elizabeth Hospital King's Lynn NHS Foundation Trust</t>
  </si>
  <si>
    <t>RD1</t>
  </si>
  <si>
    <t>Royal United Hospital Bath NHS Foundation Trust</t>
  </si>
  <si>
    <t>RD8</t>
  </si>
  <si>
    <t>Milton Keynes University Hospital NHS Foundation Trust</t>
  </si>
  <si>
    <t>RDE</t>
  </si>
  <si>
    <t>East Suffolk and North Essex NHS Foundation Trust</t>
  </si>
  <si>
    <t>RDU</t>
  </si>
  <si>
    <t>Frimley Health NHS Foundation Trust</t>
  </si>
  <si>
    <t>REF</t>
  </si>
  <si>
    <t>Royal Cornwall Hospitals NHS Trust</t>
  </si>
  <si>
    <t>REM</t>
  </si>
  <si>
    <t>Liverpool University Hospitals NHS Foundation Trust</t>
  </si>
  <si>
    <t>REN</t>
  </si>
  <si>
    <t>The Clatterbridge Cancer Centre NHS Foundation Trust</t>
  </si>
  <si>
    <t>RF4</t>
  </si>
  <si>
    <t>Barking, Havering and Redbridge University Hospitals NHS Trust</t>
  </si>
  <si>
    <t>RFF</t>
  </si>
  <si>
    <t>Barnsley Hospital NHS Foundation Trust</t>
  </si>
  <si>
    <t>RFR</t>
  </si>
  <si>
    <t>The Rotherham NHS Foundation Trust</t>
  </si>
  <si>
    <t>RFS</t>
  </si>
  <si>
    <t>Chesterfield Royal Hospital NHS Foundation Trust</t>
  </si>
  <si>
    <t>RGM</t>
  </si>
  <si>
    <t>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</si>
  <si>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</si>
  <si>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</si>
  <si>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</si>
  <si>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</si>
  <si>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</si>
  <si>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</si>
  <si>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</si>
  <si>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</si>
  <si>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RH5</t>
  </si>
  <si>
    <t>Somerset NHS Foundation Trust</t>
  </si>
  <si>
    <t>RH8</t>
  </si>
  <si>
    <t>Royal Devon and Exeter NHS Foundation Trust</t>
  </si>
  <si>
    <t>RHM</t>
  </si>
  <si>
    <t>University Hospital Southampton NHS Foundation Trust</t>
  </si>
  <si>
    <t>RHQ</t>
  </si>
  <si>
    <t>Sheffield Teaching Hospitals NHS Foundation Trust</t>
  </si>
  <si>
    <t>RHU</t>
  </si>
  <si>
    <t>Portsmouth Hospitals NHS Trust</t>
  </si>
  <si>
    <t>RHW</t>
  </si>
  <si>
    <t>Royal Berkshire NHS Foundation Trust</t>
  </si>
  <si>
    <t>RJ1</t>
  </si>
  <si>
    <t>Guy's and St Thomas' NHS Foundation Trust</t>
  </si>
  <si>
    <t>RJ2</t>
  </si>
  <si>
    <t>Lewisham and Greenwich NHS Trust</t>
  </si>
  <si>
    <t>RJ6</t>
  </si>
  <si>
    <t>Croydon Health Services NHS Trust</t>
  </si>
  <si>
    <t>RJ7</t>
  </si>
  <si>
    <t>St George's University Hospitals NHS Foundation Trust</t>
  </si>
  <si>
    <t>RJC</t>
  </si>
  <si>
    <t>South Warwickshire NHS Foundation Trust</t>
  </si>
  <si>
    <t>RJE</t>
  </si>
  <si>
    <t>University Hospitals of North Midlands NHS Trust</t>
  </si>
  <si>
    <t>RJL</t>
  </si>
  <si>
    <t>Northern Lincolnshire and Goole NHS Foundation Trust</t>
  </si>
  <si>
    <t>RJN</t>
  </si>
  <si>
    <t>East Cheshire NHS Trust</t>
  </si>
  <si>
    <t>RJR</t>
  </si>
  <si>
    <t>Countess of Chester Hospital NHS Foundation Trust</t>
  </si>
  <si>
    <t>RJZ</t>
  </si>
  <si>
    <t>King's College Hospital NHS Foundation Trust</t>
  </si>
  <si>
    <t>RK5</t>
  </si>
  <si>
    <t>Sherwood Forest Hospitals NHS Foundation Trust</t>
  </si>
  <si>
    <t>RK9</t>
  </si>
  <si>
    <t>Plymouth Hospitals NHS Trust</t>
  </si>
  <si>
    <t>RKB</t>
  </si>
  <si>
    <t>University Hospitals Coventry and Warwickshire NHS Trust</t>
  </si>
  <si>
    <t>RKE</t>
  </si>
  <si>
    <t>The Whittington Health NHS Trust</t>
  </si>
  <si>
    <t>RL4</t>
  </si>
  <si>
    <t>The Royal Wolverhampton NHS Trust</t>
  </si>
  <si>
    <t>RLQ</t>
  </si>
  <si>
    <t>Wye Valley NHS Trust</t>
  </si>
  <si>
    <t>RLT</t>
  </si>
  <si>
    <t>George Eliot Hospital NHS Trust</t>
  </si>
  <si>
    <t>RM1</t>
  </si>
  <si>
    <t>Norfolk and Norwich University Hospitals NHS Foundation Trust</t>
  </si>
  <si>
    <t>RM3</t>
  </si>
  <si>
    <t>Salford Royal NHS Foundation Trust</t>
  </si>
  <si>
    <t>RMC</t>
  </si>
  <si>
    <t>Bolton NHS Foundation Trust</t>
  </si>
  <si>
    <t>RMP</t>
  </si>
  <si>
    <t>Tameside and Glossop Integrated Care NHS Foundation Trust</t>
  </si>
  <si>
    <t>RN3</t>
  </si>
  <si>
    <t>Great Western Hospitals NHS Foundation Trust</t>
  </si>
  <si>
    <t>RN5</t>
  </si>
  <si>
    <t>Hampshire Hospitals NHS Foundation Trust</t>
  </si>
  <si>
    <t>RN7</t>
  </si>
  <si>
    <t>Dartford and Gravesham NHS Trust</t>
  </si>
  <si>
    <t>RNA</t>
  </si>
  <si>
    <t>The Dudley Group NHS Foundation Trust</t>
  </si>
  <si>
    <t>RNN</t>
  </si>
  <si>
    <t>North Cumbria Integrated Care NHS Foundation Trust</t>
  </si>
  <si>
    <t>RNQ</t>
  </si>
  <si>
    <t>Kettering General Hospital NHS Foundation Trust</t>
  </si>
  <si>
    <t>RNS</t>
  </si>
  <si>
    <t>Northampton General Hospital NHS Trust</t>
  </si>
  <si>
    <t>RNZ</t>
  </si>
  <si>
    <t>Salisbury NHS Foundation Trust</t>
  </si>
  <si>
    <t>RP5</t>
  </si>
  <si>
    <t>Doncaster and Bassetlaw Teaching Hospitals NHS Foundation Trust</t>
  </si>
  <si>
    <t>RPA</t>
  </si>
  <si>
    <t>Medway NHS Foundation Trust</t>
  </si>
  <si>
    <t>RPY</t>
  </si>
  <si>
    <t>The Royal Marsden NHS Foundation Trust</t>
  </si>
  <si>
    <t>RQM</t>
  </si>
  <si>
    <t>Chelsea and Westminster Hospital NHS Foundation Trust</t>
  </si>
  <si>
    <t>RQW</t>
  </si>
  <si>
    <t>The Princess Alexandra Hospital NHS Trust</t>
  </si>
  <si>
    <t>RQX</t>
  </si>
  <si>
    <t>Homerton University Hospital NHS Foundation Trust</t>
  </si>
  <si>
    <t>RR7</t>
  </si>
  <si>
    <t>Gateshead Health NHS Foundation Trust</t>
  </si>
  <si>
    <t>RR8</t>
  </si>
  <si>
    <t>Leeds Teaching Hospitals NHS Trust</t>
  </si>
  <si>
    <t>RRF</t>
  </si>
  <si>
    <t>Wrightington, Wigan and Leigh NHS Foundation Trust</t>
  </si>
  <si>
    <t>RRK</t>
  </si>
  <si>
    <t>University Hospitals Birmingham NHS Foundation Trust</t>
  </si>
  <si>
    <t>RRV</t>
  </si>
  <si>
    <t>University College London Hospitals NHS Foundation Trust</t>
  </si>
  <si>
    <t>RTD</t>
  </si>
  <si>
    <t>The Newcastle upon Tyne Hospitals NHS Foundation Trust</t>
  </si>
  <si>
    <t>RTE</t>
  </si>
  <si>
    <t>Gloucestershire Hospitals NHS Foundation Trust</t>
  </si>
  <si>
    <t>RTF</t>
  </si>
  <si>
    <t>Northumbria Healthcare NHS Foundation Trust</t>
  </si>
  <si>
    <t>RTG</t>
  </si>
  <si>
    <t>University Hospitals of Derby and Burton NHS Foundation Trust</t>
  </si>
  <si>
    <t>RTH</t>
  </si>
  <si>
    <t>Oxford University Hospitals NHS Foundation Trust</t>
  </si>
  <si>
    <t>RTK</t>
  </si>
  <si>
    <t>Ashford and St Peter's Hospitals NHS Foundation Trust</t>
  </si>
  <si>
    <t>RTP</t>
  </si>
  <si>
    <t>Surrey and Sussex Healthcare NHS Trust</t>
  </si>
  <si>
    <t>RTR</t>
  </si>
  <si>
    <t>South Tees Hospitals NHS Foundation Trust</t>
  </si>
  <si>
    <t>RTX</t>
  </si>
  <si>
    <t>University Hospitals of Morecambe Bay NHS Foundation Trust</t>
  </si>
  <si>
    <t>RVJ</t>
  </si>
  <si>
    <t>North Bristol NHS Trust</t>
  </si>
  <si>
    <t>RVR</t>
  </si>
  <si>
    <t>Epsom And St Helier University Hospitals NHS Trust</t>
  </si>
  <si>
    <t>RVV</t>
  </si>
  <si>
    <t>East Kent Hospitals University NHS Foundation Trust</t>
  </si>
  <si>
    <t>RVW</t>
  </si>
  <si>
    <t>North Tees And Hartlepool NHS Foundation Trust</t>
  </si>
  <si>
    <t>RVY</t>
  </si>
  <si>
    <t>Southport and Ormskirk Hospital NHS Trust</t>
  </si>
  <si>
    <t>RWA</t>
  </si>
  <si>
    <t>Hull University Teaching Hospitals NHS Trust</t>
  </si>
  <si>
    <t>RWD</t>
  </si>
  <si>
    <t>United Lincolnshire Hospitals NHS Trust</t>
  </si>
  <si>
    <t>RWE</t>
  </si>
  <si>
    <t>University Hospitals of Leicester NHS Trust</t>
  </si>
  <si>
    <t>RWF</t>
  </si>
  <si>
    <t>Maidstone and Tunbridge Wells NHS Trust</t>
  </si>
  <si>
    <t>RWG</t>
  </si>
  <si>
    <t>West Hertfordshire Hospitals NHS Trust</t>
  </si>
  <si>
    <t>RWH</t>
  </si>
  <si>
    <t>East and North Hertfordshire NHS Trust</t>
  </si>
  <si>
    <t>RWJ</t>
  </si>
  <si>
    <t>Stockport NHS Foundation Trust</t>
  </si>
  <si>
    <t>RWP</t>
  </si>
  <si>
    <t>Worcestershire Acute Hospitals NHS Trust</t>
  </si>
  <si>
    <t>RWW</t>
  </si>
  <si>
    <t>Warrington and Halton Hospitals NHS Foundation Trust</t>
  </si>
  <si>
    <t>RWY</t>
  </si>
  <si>
    <t>Calderdale And Huddersfield NHS Foundation Trust</t>
  </si>
  <si>
    <t>RX1</t>
  </si>
  <si>
    <t>Nottingham University Hospitals NHS Trust</t>
  </si>
  <si>
    <t>RXC</t>
  </si>
  <si>
    <t>East Sussex Healthcare NHS Trust</t>
  </si>
  <si>
    <t>RXF</t>
  </si>
  <si>
    <t>Mid Yorkshire Hospitals NHS Trust</t>
  </si>
  <si>
    <t>RXK</t>
  </si>
  <si>
    <t>Sandwell and West Birmingham Hospitals NHS Trust</t>
  </si>
  <si>
    <t>RXL</t>
  </si>
  <si>
    <t>Blackpool Teaching Hospitals NHS Foundation Trust</t>
  </si>
  <si>
    <t>RXN</t>
  </si>
  <si>
    <t>Lancashire Teaching Hospitals NHS Foundation Trust</t>
  </si>
  <si>
    <t>RXP</t>
  </si>
  <si>
    <t>County Durham and Darlington NHS Foundation Trust</t>
  </si>
  <si>
    <t>RXQ</t>
  </si>
  <si>
    <t>Buckinghamshire Healthcare NHS Trust</t>
  </si>
  <si>
    <t>RXR</t>
  </si>
  <si>
    <t>East Lancashire Hospitals NHS Trust</t>
  </si>
  <si>
    <t>RXW</t>
  </si>
  <si>
    <t>Shrewsbury and Telford Hospital NHS Trust</t>
  </si>
  <si>
    <t>RYJ</t>
  </si>
  <si>
    <t>Imperial College Healthcare NHS Trust</t>
  </si>
  <si>
    <t>RYR</t>
  </si>
  <si>
    <t>Proportion of patients with stage IV disease</t>
  </si>
  <si>
    <t>Proportion of patients with PS 0–1</t>
  </si>
  <si>
    <t>Proportion of patients with pathological diagnosis (Stage I/II, PS 0–1)</t>
  </si>
  <si>
    <t>Trust name</t>
  </si>
  <si>
    <t>name</t>
  </si>
  <si>
    <t>Number of patients with a valid pathological diagnosis</t>
  </si>
  <si>
    <t>No</t>
  </si>
  <si>
    <t>NA</t>
  </si>
  <si>
    <t>Number of patients who were diagnosed via an emergency route.</t>
  </si>
  <si>
    <t>Proportion of patients with NSCLC who had curative treatment (Stage I-II, PS 0–2)</t>
  </si>
  <si>
    <t>Proportion of patients with NSCLC who had curative treatment (Stage IIIA, PS 0–2)</t>
  </si>
  <si>
    <t>Proportion of patients with NSCLC undergoing surgery</t>
  </si>
  <si>
    <t>Number of patients who had resection surgery.</t>
  </si>
  <si>
    <t>Proportion of patients with SCLC receiving chemotherapy</t>
  </si>
  <si>
    <t>Number of patients with a recorded date of chemotherapy</t>
  </si>
  <si>
    <t>Proportion of patients with NSCLC (IIIB–IVB, PS 0–1) who had systemic anticancer therapy</t>
  </si>
  <si>
    <t>Number of patients with a record of contact with a LCNS (COSD CR2050 codes Y1, Y3, Y4)</t>
  </si>
  <si>
    <t>Acronym</t>
  </si>
  <si>
    <t>Description</t>
  </si>
  <si>
    <t>LCNS</t>
  </si>
  <si>
    <t xml:space="preserve">Lung cancer nurse specialist </t>
  </si>
  <si>
    <t>NLCA</t>
  </si>
  <si>
    <t>National lung cancer audit</t>
  </si>
  <si>
    <t>RCRD</t>
  </si>
  <si>
    <t>Rapid cancer registry data</t>
  </si>
  <si>
    <t>SCRD</t>
  </si>
  <si>
    <t>Standard cancer registry data</t>
  </si>
  <si>
    <t>PS</t>
  </si>
  <si>
    <t>Performance status</t>
  </si>
  <si>
    <t>NSCLC</t>
  </si>
  <si>
    <t xml:space="preserve">Non-small cell lung cancer  </t>
  </si>
  <si>
    <t>SCLC</t>
  </si>
  <si>
    <t>Small cell lung cancer</t>
  </si>
  <si>
    <t>Cancer Aliance</t>
  </si>
  <si>
    <t>Rank (National)</t>
  </si>
  <si>
    <t>Rank (national)</t>
  </si>
  <si>
    <t>Grand Total</t>
  </si>
  <si>
    <t>Count of trust_name</t>
  </si>
  <si>
    <t>Number of trusts per cancer aliance</t>
  </si>
  <si>
    <t>USER GUIDE</t>
  </si>
  <si>
    <t>LEAVE_BLANK</t>
  </si>
  <si>
    <t>LEAVE_BLANK3</t>
  </si>
  <si>
    <t>99.8% AS LoLim</t>
  </si>
  <si>
    <t>99.8% AS HiLim</t>
  </si>
  <si>
    <t>95% AS LoLim</t>
  </si>
  <si>
    <t>95% AS HiLim</t>
  </si>
  <si>
    <t>99.8% LoLim</t>
  </si>
  <si>
    <t>99.8% HiLim</t>
  </si>
  <si>
    <t>95% LoLim</t>
  </si>
  <si>
    <t>95% HiLim</t>
  </si>
  <si>
    <t>UNADJUSTED RESULTS</t>
  </si>
  <si>
    <t>Denominator:</t>
  </si>
  <si>
    <t>Risk adjustment:</t>
  </si>
  <si>
    <t xml:space="preserve"> </t>
  </si>
  <si>
    <t>Numerator:</t>
  </si>
  <si>
    <t>This sheet links user selection on the dashboard with codes etc required to query data sheets and return values to dashboard</t>
  </si>
  <si>
    <t>NATIONAL RESULTS</t>
  </si>
  <si>
    <t>n_trusts_in_CA</t>
  </si>
  <si>
    <t>SELECTED TRUST:</t>
  </si>
  <si>
    <t>SELECTED INDICATOR:</t>
  </si>
  <si>
    <t>funnel_selected_trust_Xaxis</t>
  </si>
  <si>
    <t>funnel_selected_trust_Yaxis</t>
  </si>
  <si>
    <t>cell name:</t>
  </si>
  <si>
    <t>cell value:</t>
  </si>
  <si>
    <t xml:space="preserve">not currently a naed cell in use </t>
  </si>
  <si>
    <t>Proportion (%)</t>
  </si>
  <si>
    <t>Denominator (N)</t>
  </si>
  <si>
    <t>stage_p</t>
  </si>
  <si>
    <t>ps_p</t>
  </si>
  <si>
    <t>morph_p</t>
  </si>
  <si>
    <t>route_p</t>
  </si>
  <si>
    <t>basis_p</t>
  </si>
  <si>
    <t>imd_p</t>
  </si>
  <si>
    <t>ethnicity_p</t>
  </si>
  <si>
    <t>smoke_p</t>
  </si>
  <si>
    <t>National</t>
  </si>
  <si>
    <t>dq_descr</t>
  </si>
  <si>
    <t>dq_name</t>
  </si>
  <si>
    <t>dq_target</t>
  </si>
  <si>
    <t>BAR CHART - INDICATORS</t>
  </si>
  <si>
    <t>FUNNEL PLOT - INDICATORS</t>
  </si>
  <si>
    <t>BAR CHART - DATA QUALITY</t>
  </si>
  <si>
    <t>bar_chart_indic_selected_trust_Xaxis</t>
  </si>
  <si>
    <t>bar_chart__indic_selected_trust_Yaxis</t>
  </si>
  <si>
    <t>bar_chart_dq_selected_trust_Xaxis</t>
  </si>
  <si>
    <t>bar_chart_dq_selected_trust_Yaxis</t>
  </si>
  <si>
    <t>SELECTED DATA QUALITY DOMAIN:</t>
  </si>
  <si>
    <t xml:space="preserve"> All patients with pathologically confirmed SCLC</t>
  </si>
  <si>
    <t>selected_indic_descr</t>
  </si>
  <si>
    <t>selected_indic_name_unadj</t>
  </si>
  <si>
    <t>selected_indic_name_adj</t>
  </si>
  <si>
    <t>selected_indic_num</t>
  </si>
  <si>
    <t>selected_indic_denom</t>
  </si>
  <si>
    <t>selected_trust</t>
  </si>
  <si>
    <t>selected_trust_code</t>
  </si>
  <si>
    <t>selected_trust_ca_name</t>
  </si>
  <si>
    <t>selected_trust_ca_code</t>
  </si>
  <si>
    <t>selected_dq_descr</t>
  </si>
  <si>
    <t>selected_dq_name</t>
  </si>
  <si>
    <t>selected_dq_target</t>
  </si>
  <si>
    <t>national_mean_data_entry</t>
  </si>
  <si>
    <t>national_mean_flag</t>
  </si>
  <si>
    <t>national_mean_scaled</t>
  </si>
  <si>
    <t>national_mean_normal_approx</t>
  </si>
  <si>
    <t>national_SD</t>
  </si>
  <si>
    <t>national_mean_arcsin_transf</t>
  </si>
  <si>
    <t>columns_for_funnel_chart_to_right-&gt;</t>
  </si>
  <si>
    <t>selected_indic_value_scaled_small_suppr</t>
  </si>
  <si>
    <t>selected_indic_value_scaled_without_small_suppression</t>
  </si>
  <si>
    <t>selected_indic_denom_value</t>
  </si>
  <si>
    <t>selected_indic_denom_rank</t>
  </si>
  <si>
    <t>CALCULATIONS_FOR_CI_TO_RIGHT -&gt;</t>
  </si>
  <si>
    <t>COLUMNS_FOR_PLOTTING_FUNNEL_TO_RIGHT -&gt;</t>
  </si>
  <si>
    <t>funnel_graph_Xaxis_TRUST_VOLUME</t>
  </si>
  <si>
    <t>funnel_graph_Yaxis_indic_value</t>
  </si>
  <si>
    <t>selected_dq_value</t>
  </si>
  <si>
    <t>selected_dq_rank</t>
  </si>
  <si>
    <t>COLUMNS TO RIGHT ARE FOR POPULATING TABLE ON DASHBOARD</t>
  </si>
  <si>
    <t>Data completeness for Basis of Diagnosis</t>
  </si>
  <si>
    <t>Data completeness for Clinical Nurse Specialist</t>
  </si>
  <si>
    <t>Data completeness for Ethnicity</t>
  </si>
  <si>
    <t>Data completeness for IMD (deprivation)</t>
  </si>
  <si>
    <t>Data completeness for Performance Status</t>
  </si>
  <si>
    <t>Data completeness for Route to diagnosis</t>
  </si>
  <si>
    <t>Data completeness for Smoking status</t>
  </si>
  <si>
    <t>Data completeness for TNM stage</t>
  </si>
  <si>
    <t>TNM</t>
  </si>
  <si>
    <t>IMD</t>
  </si>
  <si>
    <t>Index of Multiple Deprivation</t>
  </si>
  <si>
    <t>TNM staging system, where T refers to primary tumor, N refers to regional lymph nodes and M refers to distant metastasis</t>
  </si>
  <si>
    <t>selected_indicator_trust_value</t>
  </si>
  <si>
    <t>selected_indicator_trust_rank</t>
  </si>
  <si>
    <t xml:space="preserve">Max number of trusts per CA: </t>
  </si>
  <si>
    <t>Number of patients with stage IV disease</t>
  </si>
  <si>
    <t>Number of patients with PS 0-1</t>
  </si>
  <si>
    <t>selected_dq_domain_target</t>
  </si>
  <si>
    <t>nat_ave</t>
  </si>
  <si>
    <t>bar_chart_dq_target_Xaxis</t>
  </si>
  <si>
    <t>bar_chart_dq_target_Yaxis</t>
  </si>
  <si>
    <t>Never smoked</t>
  </si>
  <si>
    <t>Current / Ex-smoker</t>
  </si>
  <si>
    <t>Unknown</t>
  </si>
  <si>
    <t>White</t>
  </si>
  <si>
    <t>Mixed</t>
  </si>
  <si>
    <t>Asian/Asian British</t>
  </si>
  <si>
    <t>Black/Black British</t>
  </si>
  <si>
    <t>Other</t>
  </si>
  <si>
    <t>SMOKING STATUS</t>
  </si>
  <si>
    <t>ETHNICITY</t>
  </si>
  <si>
    <t>IMD QUINTILE</t>
  </si>
  <si>
    <t>1 (most deprived)</t>
  </si>
  <si>
    <t>5 (least deprived)</t>
  </si>
  <si>
    <t>Non-small cell</t>
  </si>
  <si>
    <t>Small cell</t>
  </si>
  <si>
    <t>Carcinoid</t>
  </si>
  <si>
    <t>Not assessed (NSCLC)</t>
  </si>
  <si>
    <t>Stage I</t>
  </si>
  <si>
    <t>Stage II</t>
  </si>
  <si>
    <t>Stage IIIA</t>
  </si>
  <si>
    <t>Stage IIIB/C</t>
  </si>
  <si>
    <t>Stage IV</t>
  </si>
  <si>
    <t>PERFORMANCE STATUS</t>
  </si>
  <si>
    <t>STAGE AT DIAGNOSIS</t>
  </si>
  <si>
    <t>TYPE OF LUNG CANCER</t>
  </si>
  <si>
    <t>PATIENT CHARACTERISTIC</t>
  </si>
  <si>
    <t>NATIONAL</t>
  </si>
  <si>
    <t>TRUST</t>
  </si>
  <si>
    <t>CANCER ALIANCE</t>
  </si>
  <si>
    <t>IMD = Index of Multiple Deprivation</t>
  </si>
  <si>
    <t>n_stage12_ps01</t>
  </si>
  <si>
    <t>n_stage12_ps02</t>
  </si>
  <si>
    <t>n_stage3b4_ps01</t>
  </si>
  <si>
    <t>n_stage3a_ps02</t>
  </si>
  <si>
    <t>chemo_p_adj</t>
  </si>
  <si>
    <t>cure_12_p</t>
  </si>
  <si>
    <t>cure_12_p_adj</t>
  </si>
  <si>
    <t>cure_3_p</t>
  </si>
  <si>
    <t>cure_3_p_adj</t>
  </si>
  <si>
    <t>sact_p_adj</t>
  </si>
  <si>
    <t>emergency_p_adj</t>
  </si>
  <si>
    <t>RM Partners</t>
  </si>
  <si>
    <t>surgery_p_adj</t>
  </si>
  <si>
    <t>selected_indic_adj_ca_value</t>
  </si>
  <si>
    <t>selected_indic_adj_ca_rank</t>
  </si>
  <si>
    <t>Please select a NHS TRUST from the dropdown box below:</t>
  </si>
  <si>
    <t>Please select a PERFORMANCE INDICATOR from the dropdown box below:</t>
  </si>
  <si>
    <t>Please select a DATA QUALITY domain from the dropdown box below:</t>
  </si>
  <si>
    <t>ordered_rank</t>
  </si>
  <si>
    <t>COLUMNS_LHS_STATA_OUTPUT_COLUMNS_RHS_FOR_POPULATING_DASHBOARD</t>
  </si>
  <si>
    <t>COLUMNS_LHS_STATA_output_RHS_for_dashboard</t>
  </si>
  <si>
    <t>funnel_graph_95%CI_LOW</t>
  </si>
  <si>
    <t>funnel_graph_indic_95%CI_HIGH</t>
  </si>
  <si>
    <t>COLUMNS RHS_STATA_OUTPUT_LHS_FOR_DASHBOARD</t>
  </si>
  <si>
    <t>selected_indic_unadj_ca_value</t>
  </si>
  <si>
    <t>selected_indic_unadj_ca_rank</t>
  </si>
  <si>
    <t>stage4_p_adj</t>
  </si>
  <si>
    <t>ps0_1_p_adj</t>
  </si>
  <si>
    <t>histconfirmed_p_adj</t>
  </si>
  <si>
    <t>cns_p_adj</t>
  </si>
  <si>
    <t xml:space="preserve">All patients with a new diagnosis of lung cancer (excludes mesothelioma) and recorded disease stage. </t>
  </si>
  <si>
    <t xml:space="preserve">All patients with a new diagnosis of lung cancer (excludes mesothelioma) and recorded PS. </t>
  </si>
  <si>
    <t xml:space="preserve">All patients with a new diagnosis of stage I-II lung cancer (excludes mesothelioma) and PS 0-1. </t>
  </si>
  <si>
    <t xml:space="preserve"> All patients with NSCLC (unknown type assumed NSCLC).</t>
  </si>
  <si>
    <t>Number of patients with Stage I-II NSCLC (unknown type assumed NSCLC) and PS 0–2</t>
  </si>
  <si>
    <t>Number of patients with Stage IIIA NSCLC  (unknown type assumed NSCLC) and PS 0–2</t>
  </si>
  <si>
    <t>All patients with stage IIIB–IVB NSCLC (unknown type assumed NSCLC) and PS 0–1</t>
  </si>
  <si>
    <t>Number of patients with systemic treatment recorded</t>
  </si>
  <si>
    <t>All patients with a new diagnosis of lung cancer (excludes mesothelioma) and LCNS contact recorded as either NI, NN, Y1, Y3 or Y4</t>
  </si>
  <si>
    <t xml:space="preserve">All patients with a new diagnosis of lung cancer (excludes mesothelioma) and recorded route to diagnosis. </t>
  </si>
  <si>
    <t>Number of patients who had curative treatment</t>
  </si>
  <si>
    <t>code</t>
  </si>
  <si>
    <t>current_ex</t>
  </si>
  <si>
    <t>never</t>
  </si>
  <si>
    <t>smok_unknown</t>
  </si>
  <si>
    <t>p_current_ex</t>
  </si>
  <si>
    <t>p_never</t>
  </si>
  <si>
    <t>white</t>
  </si>
  <si>
    <t>mixed</t>
  </si>
  <si>
    <t>asian</t>
  </si>
  <si>
    <t>black</t>
  </si>
  <si>
    <t>other</t>
  </si>
  <si>
    <t>ethc_unknown</t>
  </si>
  <si>
    <t>p_white</t>
  </si>
  <si>
    <t>p_mixed</t>
  </si>
  <si>
    <t>p_asian</t>
  </si>
  <si>
    <t>p_black</t>
  </si>
  <si>
    <t>p_other</t>
  </si>
  <si>
    <t>imdleast</t>
  </si>
  <si>
    <t>imd2</t>
  </si>
  <si>
    <t>imd3</t>
  </si>
  <si>
    <t>imd4</t>
  </si>
  <si>
    <t>imdmost</t>
  </si>
  <si>
    <t>p_imdleast</t>
  </si>
  <si>
    <t>p_imd2</t>
  </si>
  <si>
    <t>p_imd3</t>
  </si>
  <si>
    <t>p_imd4</t>
  </si>
  <si>
    <t>p_imdmost</t>
  </si>
  <si>
    <t>sclc</t>
  </si>
  <si>
    <t>carcinoid</t>
  </si>
  <si>
    <t>nsclc</t>
  </si>
  <si>
    <t>not_assessed</t>
  </si>
  <si>
    <t>p_sclc</t>
  </si>
  <si>
    <t>p_carc</t>
  </si>
  <si>
    <t>p_nsclc</t>
  </si>
  <si>
    <t>p_unknown</t>
  </si>
  <si>
    <t>s1</t>
  </si>
  <si>
    <t>s2</t>
  </si>
  <si>
    <t>s3a</t>
  </si>
  <si>
    <t>s3b</t>
  </si>
  <si>
    <t>s4</t>
  </si>
  <si>
    <t>s_unknown</t>
  </si>
  <si>
    <t>p_s1</t>
  </si>
  <si>
    <t>p_s2</t>
  </si>
  <si>
    <t>p_s3a</t>
  </si>
  <si>
    <t>p_s3b</t>
  </si>
  <si>
    <t>p_s4</t>
  </si>
  <si>
    <t>ps0</t>
  </si>
  <si>
    <t>ps1</t>
  </si>
  <si>
    <t>ps2</t>
  </si>
  <si>
    <t>ps3</t>
  </si>
  <si>
    <t>ps4</t>
  </si>
  <si>
    <t>ps_unknown</t>
  </si>
  <si>
    <t>p_ps0</t>
  </si>
  <si>
    <t>p_ps1</t>
  </si>
  <si>
    <t>p_ps2</t>
  </si>
  <si>
    <t>p_ps3</t>
  </si>
  <si>
    <t>p_ps4</t>
  </si>
  <si>
    <t>Number 
(% among known)</t>
  </si>
  <si>
    <t>Proportion of patients seen by lung CNS</t>
  </si>
  <si>
    <t>Diagnosis via emergency presentation</t>
  </si>
  <si>
    <t>funnel_graph_99_CI_LOW</t>
  </si>
  <si>
    <t>funnel_graph_indic_98_CI_HIGH</t>
  </si>
  <si>
    <t>COLUMNS_LHS_STATA_OUTPUT_RHS_DASHBOARD_TABLES</t>
  </si>
  <si>
    <t>selected_indicator_adj_trust_value_small_suppr</t>
  </si>
  <si>
    <t>selected_indicator_adj_trust_rank_small_suppr</t>
  </si>
  <si>
    <t>selected_indicator_unadj_trust_value_small_suppr</t>
  </si>
  <si>
    <t>selected_indic_denom_trust_value_small_suppr</t>
  </si>
  <si>
    <t>selected_indicator_unadj_trust_rank_small_suppr</t>
  </si>
  <si>
    <t>* NRA: not risk adjusted; **NR: not reported, as denominator &lt;10</t>
  </si>
  <si>
    <t>selected_indicator_unadj_trust_rank_small_suppr_barchart_Xaxis</t>
  </si>
  <si>
    <t>selected_indicator_unadj_trust_value_small_suppr_barchart_Yaxis</t>
  </si>
  <si>
    <t>columns_for_barchart -&gt;</t>
  </si>
  <si>
    <t xml:space="preserve">These cells contain dropdown menus where the user can select NHS Trust, Data Quality Domain and Performance Indicator of interest </t>
  </si>
  <si>
    <t>Table 5a:  Characteristics of patients diagnosed with lung cancer in England during 2021</t>
  </si>
  <si>
    <t>Table 5b:  Characteristics of patients diagnosed with lung cancer in England during 2021</t>
  </si>
  <si>
    <t>ADJUSTED RESULTS</t>
  </si>
  <si>
    <r>
      <rPr>
        <b/>
        <sz val="11"/>
        <color theme="1"/>
        <rFont val="Calibri"/>
        <family val="2"/>
        <scheme val="minor"/>
      </rPr>
      <t>Citation for this document:</t>
    </r>
    <r>
      <rPr>
        <sz val="11"/>
        <color theme="1"/>
        <rFont val="Calibri"/>
        <family val="2"/>
        <scheme val="minor"/>
      </rPr>
      <t xml:space="preserve">
National Lung Cancer Audit: State of the Nation Report 2023. London: Royal College of Surgeons of England, 2023.
</t>
    </r>
    <r>
      <rPr>
        <b/>
        <sz val="11"/>
        <color theme="1"/>
        <rFont val="Calibri"/>
        <family val="2"/>
        <scheme val="minor"/>
      </rPr>
      <t>© 2023 Healthcare Quality Improvement Partnership (HQIP)</t>
    </r>
    <r>
      <rPr>
        <sz val="11"/>
        <color theme="1"/>
        <rFont val="Calibri"/>
        <family val="2"/>
        <scheme val="minor"/>
      </rPr>
      <t xml:space="preserve">
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</si>
  <si>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The British Thoracic Oncology Group (BTOG) is the multi-disciplinary group for healthcare professionals involved with thoracic malignancies throughout the UK. Registered Charity no: 1166012</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</si>
  <si>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</si>
  <si>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The SCTS is the representative body for cardiothoracic surgery in Great Britain &amp; Ireland. Registered Charity no: 1113536</t>
  </si>
  <si>
    <t xml:space="preserve">The NLCA is commissioned by the Healthcare Quality Improvement Partnership (HQIP) as part of the National Clinical Audit and Patient Outcomes Programme (NCAPOP). HQIP is led by a consortium of the Academy of Medical Royal Colleges, the Royal College of Nursing, and National Voices.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t>
  </si>
  <si>
    <r>
      <rPr>
        <b/>
        <sz val="11"/>
        <color theme="1"/>
        <rFont val="Calibri"/>
        <family val="2"/>
        <scheme val="minor"/>
      </rPr>
      <t>Cancer Registration in England and Wales</t>
    </r>
    <r>
      <rPr>
        <sz val="11"/>
        <color theme="1"/>
        <rFont val="Calibri"/>
        <family val="2"/>
        <scheme val="minor"/>
      </rPr>
      <t xml:space="preserve">
This work uses data that has been provided by patients and collected by the NHS as part of their care and support. For patients diagnosed in England, the data is collated, maintained and quality assured by the National Disease Registration Service (NDRS), which is was part of NHS Digital. Access to the data was facilitated by the NHS Digital Data Access Request Service. For patients diagnosed in Wales, the NLCA dataset is captured through a national system, Cancer Information System for Wales (CaNISC), after identification by hospital cancer services and uploaded via electronic MDT data collection systems to the Wales Cancer Network (WCN), Public Health Wales.</t>
    </r>
  </si>
  <si>
    <r>
      <rPr>
        <b/>
        <sz val="11"/>
        <color theme="1"/>
        <rFont val="Calibri"/>
        <family val="2"/>
        <scheme val="minor"/>
      </rPr>
      <t>This report was prepared by members of the NLCA project team:</t>
    </r>
    <r>
      <rPr>
        <sz val="11"/>
        <color theme="1"/>
        <rFont val="Calibri"/>
        <family val="2"/>
        <scheme val="minor"/>
      </rPr>
      <t xml:space="preserve">
Neal Navani, Senior Clinical Lead
John Conibear, Oncology Lead, Royal College of Radiologists
Doug West, Thoracic Surgical Lead, Society for Cardiothoracic Surgery
Team members in the Clinical Effectiveness Unit, RCS England:
• Julie Nossiter, NLCA Audit Lead
• Adrian Cook, NLCA Senior Statistician
• David Cromwell, NLCA Methodological Lead
• Lauren Dixon, NLCA Clinical Fellow
• Ella Barber, NLCA Data Scientist
• Joanne Boudour, NLCA Project Manager</t>
    </r>
  </si>
  <si>
    <t xml:space="preserve">The purpose of the National Lung Cancer Audit (NLCA) is to evaluate the patterns of care and outcomes for patients with lung cancer in England and Wales, and to support services to improve the quality of care for these patients. </t>
  </si>
  <si>
    <t xml:space="preserve">This data viewer provides an overview of clinical process and outcomes for 34,478 patients diagnosed with lung cancer in England in 2021. Please see the NLCA Data tables for detailed results on the care received by patients diagnosed in Wales in 2020 and 2021. </t>
  </si>
  <si>
    <t>In England, the NLCA receives information from the National Cancer Registration and Analysis Service (NCRAS). NCRAS collects patient-level data from all NHS acute providers on patients with cancer using a range of national data-feeds. This includes the Cancer Registration datasets and the Cancer Outcomes and Services Dataset (COSD). COSD data are submitted to the National Cancer Data Repository (NCDR) monthly via Multidisciplinary Team electronic data collection systems. Clinical sign-off of data submitted to NCRAS is not mandated in England. The information held in the registration dataset is compiled from a number of sources.</t>
  </si>
  <si>
    <t xml:space="preserve">For this annual report, the NLCA was provided with data from the Rapid Cancer Registration Dataset (RCRD). This dataset is compiled mainly from COSD records, and is made available more quickly than the complete cancer registration dataset.  However, the speed of production means that the range of data items is limited and several standard data items in the complete registration dataset are unavailable.  It also does not have complete coverage of all patients diagnosed with lung cancer in England during the reporting period.  The RCRD was linked to other national health care datasets, including Hospital Episode Statistics (HES) admitted patient records, the National Radiotherapy Dataset (RTDS), the Systemic Anti-Cancer Therapy Dataset (SACT), and the Office for National Statistics (ONS) death register.  The datasets were received by the NLCA in November 2022 and contained patient data submitted to NCRAS by English NHS trusts before July 2022. </t>
  </si>
  <si>
    <t>Please note: the total number of patients from which the Cancer Alliance and NHS trust figures were derived is less than the total number of patients used for the national figures.  This is because not all patients had a trust of diagnosis in the RCRD data.</t>
  </si>
  <si>
    <t>This NLCA report allocates patients to NHS organisations based on the “place of diagnosis” recorded within the dataset. It was not possible to allocate patients to NHS organisations based on the “site first seen”, as done in previous reports, because the RCRD did not contain this data item. The algorithm used previously to determine “site first seen” could not be used with the data supplied for this report, and we encourage NHS trusts to ensure the COSD field “place first seen” is completed to enable this approach in future.</t>
  </si>
  <si>
    <t>University Hospitals Sussex NHS Foundation Trust</t>
  </si>
  <si>
    <t>morph2_p</t>
  </si>
  <si>
    <t>Data completeness for Morphology (among all patients)</t>
  </si>
  <si>
    <t>Data completeness for Morphology (among patients whose basis of diagnosis is histology or cytology)</t>
  </si>
  <si>
    <t>NA: not available</t>
  </si>
  <si>
    <t>n2</t>
  </si>
  <si>
    <t>dq_demon</t>
  </si>
  <si>
    <t>selected_dq_denom</t>
  </si>
  <si>
    <t>We adjust for PS even when the indicator definition is restricted to PS 0-2. This is because the indicator definition uses three PS categories, and differences between these PS categories can be predictive of outcome. Similarly, we adjust for stage even when the indicator definition is restricted to stage I-II. This is because the difference between stage I and II can be predictive of outcome.</t>
  </si>
  <si>
    <t>We adjust for PS even when the indicator definition is restricted to PS 0-2. This is because the indicator definition uses three PS categories, and differences between these PS categories can be predictive of outcome.</t>
  </si>
  <si>
    <t>We adjust for PS even when the indicator definition is restricted to PS 0-1. This is because the indicator definition uses two PS categories, and differences between these PS categories can be predictive of outcome. Similarly, we adjust for stage even when the indicator definition is restricted to stage IIIB–IVB. This is because the difference between stage IIIB and IVB can be predictive of outcome.</t>
  </si>
  <si>
    <t>risk_adjust_comment</t>
  </si>
  <si>
    <t>Age, sex (Wales only), comorbidity, stage, performance status (PS), tumour type, audit-year (Wales only)</t>
  </si>
  <si>
    <t>Age, sex (Wales only), comorbidity, stage, performance status (PS), audit-year (Wales only)</t>
  </si>
  <si>
    <t>Age, sex (Wales only), comorbidity, performance status (PS), tumour type, audit-year (Wales only)</t>
  </si>
  <si>
    <t>Age, sex (Wales only), comorbidity, stage, performance status (PS), tumour type, audit year (Wales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</si>
</sst>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0_ ;\-#,##0.00\ "/>
    <numFmt numFmtId="166" formatCode="0_ ;\-0\ "/>
    <numFmt numFmtId="167" formatCode="0.0"/>
  </numFmts>
  <fonts count="10" x14ac:knownFonts="1">
    <font>
      <sz val="11"/>
      <color theme="1"/>
      <name val="Calibri"/>
      <family val="2"/>
      <scheme val="minor"/>
    </font>
    <font>
      <b/>
      <sz val="11"/>
      <color theme="1"/>
      <name val="Calibri"/>
      <family val="2"/>
      <scheme val="minor"/>
    </font>
    <font>
      <sz val="11"/>
      <color rgb="FF000000"/>
      <name val="Calibri"/>
      <family val="2"/>
    </font>
    <font>
      <u/>
      <sz val="11"/>
      <color theme="1"/>
      <name val="Calibri"/>
      <family val="2"/>
      <scheme val="minor"/>
    </font>
    <font>
      <sz val="11"/>
      <color theme="1"/>
      <name val="Calibri"/>
      <family val="2"/>
      <scheme val="minor"/>
    </font>
    <font>
      <sz val="8"/>
      <name val="Calibri"/>
      <family val="2"/>
      <scheme val="minor"/>
    </font>
    <font>
      <b/>
      <sz val="11"/>
      <color rgb="FF000000"/>
      <name val="Calibri"/>
      <family val="2"/>
    </font>
    <font>
      <sz val="10"/>
      <name val="Arial"/>
      <family val="2"/>
    </font>
    <font>
      <sz val="10"/>
      <name val="Arial"/>
    </font>
    <font>
      <b/>
      <sz val="10"/>
      <name val="Arial"/>
      <family val="2"/>
    </font>
  </fonts>
  <fills count="6">
    <fill>
      <patternFill patternType="none"/>
    </fill>
    <fill>
      <patternFill patternType="gray125"/>
    </fill>
    <fill>
      <patternFill patternType="solid">
        <fgColor rgb="FFFFFF00"/>
        <bgColor indexed="64"/>
      </patternFill>
    </fill>
    <fill>
      <patternFill patternType="solid">
        <fgColor theme="0" tint="-0.14999847407452621"/>
        <bgColor theme="0" tint="-0.14999847407452621"/>
      </patternFill>
    </fill>
    <fill>
      <patternFill patternType="solid">
        <fgColor theme="7" tint="0.79998168889431442"/>
        <bgColor indexed="64"/>
      </patternFill>
    </fill>
    <fill>
      <patternFill patternType="solid">
        <fgColor theme="0" tint="-4.9989318521683403E-2"/>
        <bgColor indexed="64"/>
      </patternFill>
    </fill>
  </fills>
  <borders count="20">
    <border>
      <left/>
      <right/>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n">
        <color theme="1"/>
      </bottom>
      <diagonal/>
    </border>
    <border>
      <left/>
      <right/>
      <top style="thin">
        <color theme="1"/>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theme="1"/>
      </top>
      <bottom style="thin">
        <color theme="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s>
  <cellStyleXfs count="9">
    <xf numFmtId="0" fontId="0" fillId="0" borderId="0"/>
    <xf numFmtId="43" fontId="4" fillId="0" borderId="0" applyFont="0" applyFill="0" applyBorder="0" applyAlignment="0" applyProtection="0"/>
    <xf numFmtId="9" fontId="4" fillId="0" borderId="0" applyFont="0" applyFill="0" applyBorder="0" applyAlignment="0" applyProtection="0"/>
    <xf numFmtId="0" fontId="8" fillId="0" borderId="0"/>
    <xf numFmtId="0" fontId="7"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cellStyleXfs>
  <cellXfs count="165">
    <xf numFmtId="0" fontId="0" fillId="0" borderId="0" xfId="0"/>
    <xf numFmtId="0" fontId="1" fillId="0" borderId="0" xfId="0" applyFont="1"/>
    <xf numFmtId="1" fontId="0" fillId="0" borderId="0" xfId="0" applyNumberFormat="1"/>
    <xf numFmtId="0" fontId="0" fillId="2" borderId="0" xfId="0" applyFill="1"/>
    <xf numFmtId="2" fontId="0" fillId="0" borderId="0" xfId="0" applyNumberFormat="1"/>
    <xf numFmtId="0" fontId="0" fillId="0" borderId="0" xfId="0" applyAlignment="1">
      <alignment wrapText="1"/>
    </xf>
    <xf numFmtId="0" fontId="0" fillId="0" borderId="2" xfId="0" applyBorder="1"/>
    <xf numFmtId="0" fontId="0" fillId="0" borderId="1" xfId="0" applyBorder="1"/>
    <xf numFmtId="0" fontId="0" fillId="0" borderId="4" xfId="0" applyBorder="1"/>
    <xf numFmtId="0" fontId="0" fillId="3" borderId="5" xfId="0" applyFill="1" applyBorder="1"/>
    <xf numFmtId="0" fontId="0" fillId="3" borderId="0" xfId="0" applyFill="1"/>
    <xf numFmtId="0" fontId="1" fillId="0" borderId="6" xfId="0" applyFont="1" applyBorder="1"/>
    <xf numFmtId="0" fontId="0" fillId="3" borderId="6" xfId="0" applyFill="1" applyBorder="1"/>
    <xf numFmtId="1" fontId="0" fillId="3" borderId="6" xfId="0" applyNumberFormat="1" applyFill="1" applyBorder="1"/>
    <xf numFmtId="1" fontId="0" fillId="3" borderId="0" xfId="0" applyNumberFormat="1" applyFill="1"/>
    <xf numFmtId="0" fontId="0" fillId="0" borderId="0" xfId="0" pivotButton="1"/>
    <xf numFmtId="0" fontId="0" fillId="0" borderId="0" xfId="0" applyAlignment="1">
      <alignment horizontal="left"/>
    </xf>
    <xf numFmtId="1" fontId="1" fillId="0" borderId="3" xfId="0" applyNumberFormat="1" applyFont="1" applyBorder="1"/>
    <xf numFmtId="0" fontId="0" fillId="4" borderId="7" xfId="0" applyFill="1" applyBorder="1"/>
    <xf numFmtId="0" fontId="3" fillId="0" borderId="0" xfId="0" applyFont="1"/>
    <xf numFmtId="0" fontId="1" fillId="0" borderId="8" xfId="0" applyFont="1" applyBorder="1" applyAlignment="1">
      <alignment vertical="center"/>
    </xf>
    <xf numFmtId="0" fontId="1" fillId="0" borderId="4" xfId="0" applyFont="1" applyBorder="1" applyAlignment="1">
      <alignment vertical="center"/>
    </xf>
    <xf numFmtId="2" fontId="0" fillId="0" borderId="4" xfId="0" applyNumberFormat="1" applyBorder="1" applyAlignment="1">
      <alignment horizontal="center"/>
    </xf>
    <xf numFmtId="0" fontId="1" fillId="0" borderId="3" xfId="0" applyFont="1" applyBorder="1"/>
    <xf numFmtId="0" fontId="0" fillId="0" borderId="7" xfId="0" applyBorder="1"/>
    <xf numFmtId="1" fontId="0" fillId="0" borderId="7" xfId="0" applyNumberFormat="1" applyBorder="1"/>
    <xf numFmtId="0" fontId="1" fillId="0" borderId="7" xfId="0" applyFont="1" applyBorder="1"/>
    <xf numFmtId="1" fontId="1" fillId="0" borderId="7" xfId="0" applyNumberFormat="1" applyFont="1" applyBorder="1"/>
    <xf numFmtId="1" fontId="1" fillId="0" borderId="7" xfId="0" applyNumberFormat="1" applyFont="1" applyBorder="1" applyAlignment="1">
      <alignment horizontal="right"/>
    </xf>
    <xf numFmtId="0" fontId="1" fillId="0" borderId="7" xfId="0" applyFont="1" applyBorder="1" applyAlignment="1">
      <alignment horizontal="right"/>
    </xf>
    <xf numFmtId="0" fontId="0" fillId="0" borderId="5" xfId="0" applyBorder="1"/>
    <xf numFmtId="2" fontId="0" fillId="0" borderId="7" xfId="0" applyNumberFormat="1" applyBorder="1"/>
    <xf numFmtId="2" fontId="1" fillId="0" borderId="6" xfId="0" applyNumberFormat="1" applyFont="1" applyBorder="1"/>
    <xf numFmtId="2" fontId="0" fillId="3" borderId="6" xfId="0" applyNumberFormat="1" applyFill="1" applyBorder="1"/>
    <xf numFmtId="2" fontId="0" fillId="3" borderId="0" xfId="0" applyNumberFormat="1" applyFill="1"/>
    <xf numFmtId="2" fontId="0" fillId="0" borderId="5" xfId="0" applyNumberFormat="1" applyBorder="1"/>
    <xf numFmtId="1" fontId="1" fillId="0" borderId="6" xfId="0" applyNumberFormat="1" applyFont="1" applyBorder="1"/>
    <xf numFmtId="164" fontId="0" fillId="0" borderId="0" xfId="1" applyNumberFormat="1" applyFont="1" applyFill="1" applyBorder="1"/>
    <xf numFmtId="0" fontId="1" fillId="0" borderId="8" xfId="0" applyFont="1" applyBorder="1" applyAlignment="1">
      <alignment vertical="top"/>
    </xf>
    <xf numFmtId="0" fontId="0" fillId="0" borderId="4" xfId="0" applyBorder="1" applyAlignment="1">
      <alignment vertical="top"/>
    </xf>
    <xf numFmtId="0" fontId="0" fillId="2" borderId="0" xfId="0" applyFill="1" applyAlignment="1">
      <alignment horizontal="left"/>
    </xf>
    <xf numFmtId="9" fontId="1" fillId="0" borderId="6" xfId="2" applyFont="1" applyBorder="1"/>
    <xf numFmtId="9" fontId="0" fillId="0" borderId="0" xfId="2" applyFont="1"/>
    <xf numFmtId="9" fontId="1" fillId="0" borderId="0" xfId="2" applyFont="1" applyFill="1" applyBorder="1"/>
    <xf numFmtId="0" fontId="0" fillId="0" borderId="8" xfId="0" applyBorder="1"/>
    <xf numFmtId="2" fontId="0" fillId="5" borderId="4" xfId="0" applyNumberFormat="1" applyFill="1" applyBorder="1" applyAlignment="1">
      <alignment horizontal="center"/>
    </xf>
    <xf numFmtId="1" fontId="7" fillId="0" borderId="0" xfId="0" applyNumberFormat="1" applyFont="1"/>
    <xf numFmtId="164" fontId="0" fillId="0" borderId="4" xfId="1" applyNumberFormat="1" applyFont="1" applyBorder="1"/>
    <xf numFmtId="2" fontId="0" fillId="0" borderId="0" xfId="0" applyNumberFormat="1" applyAlignment="1">
      <alignment horizontal="right"/>
    </xf>
    <xf numFmtId="0" fontId="0" fillId="0" borderId="0" xfId="0" applyAlignment="1">
      <alignment horizontal="right"/>
    </xf>
    <xf numFmtId="0" fontId="0" fillId="0" borderId="0" xfId="0" applyAlignment="1">
      <alignment horizontal="left" indent="3"/>
    </xf>
    <xf numFmtId="0" fontId="0" fillId="3" borderId="12" xfId="0" applyFill="1" applyBorder="1"/>
    <xf numFmtId="1" fontId="0" fillId="3" borderId="5" xfId="0" applyNumberFormat="1" applyFill="1" applyBorder="1"/>
    <xf numFmtId="2" fontId="0" fillId="3" borderId="12" xfId="0" applyNumberFormat="1" applyFill="1" applyBorder="1"/>
    <xf numFmtId="2" fontId="0" fillId="3" borderId="6" xfId="0" applyNumberFormat="1" applyFill="1" applyBorder="1" applyAlignment="1">
      <alignment horizontal="right"/>
    </xf>
    <xf numFmtId="0" fontId="0" fillId="3" borderId="6" xfId="0" applyFill="1" applyBorder="1" applyAlignment="1">
      <alignment horizontal="right"/>
    </xf>
    <xf numFmtId="2" fontId="0" fillId="3" borderId="0" xfId="0" applyNumberFormat="1" applyFill="1" applyAlignment="1">
      <alignment horizontal="right"/>
    </xf>
    <xf numFmtId="0" fontId="0" fillId="3" borderId="0" xfId="0" applyFill="1" applyAlignment="1">
      <alignment horizontal="right"/>
    </xf>
    <xf numFmtId="2" fontId="0" fillId="3" borderId="5" xfId="0" applyNumberFormat="1" applyFill="1" applyBorder="1"/>
    <xf numFmtId="2" fontId="0" fillId="3" borderId="5" xfId="0" applyNumberFormat="1" applyFill="1" applyBorder="1" applyAlignment="1">
      <alignment horizontal="right"/>
    </xf>
    <xf numFmtId="0" fontId="0" fillId="3" borderId="5" xfId="0" applyFill="1" applyBorder="1" applyAlignment="1">
      <alignment horizontal="right"/>
    </xf>
    <xf numFmtId="0" fontId="0" fillId="0" borderId="4" xfId="0" applyBorder="1" applyAlignment="1">
      <alignment horizontal="right"/>
    </xf>
    <xf numFmtId="0" fontId="2" fillId="0" borderId="0" xfId="0" applyFont="1" applyAlignment="1">
      <alignment horizontal="right" vertical="center" wrapText="1"/>
    </xf>
    <xf numFmtId="0" fontId="8" fillId="0" borderId="0" xfId="3"/>
    <xf numFmtId="166" fontId="8" fillId="0" borderId="0" xfId="1" applyNumberFormat="1" applyFont="1"/>
    <xf numFmtId="166" fontId="0" fillId="0" borderId="0" xfId="1" applyNumberFormat="1" applyFont="1"/>
    <xf numFmtId="0" fontId="9" fillId="0" borderId="6" xfId="4" applyFont="1" applyBorder="1"/>
    <xf numFmtId="0" fontId="7" fillId="3" borderId="6" xfId="4" applyFill="1" applyBorder="1"/>
    <xf numFmtId="1" fontId="7" fillId="3" borderId="6" xfId="4" applyNumberFormat="1" applyFill="1" applyBorder="1"/>
    <xf numFmtId="0" fontId="7" fillId="0" borderId="0" xfId="4"/>
    <xf numFmtId="1" fontId="7" fillId="0" borderId="0" xfId="4" applyNumberFormat="1"/>
    <xf numFmtId="0" fontId="7" fillId="3" borderId="0" xfId="4" applyFill="1"/>
    <xf numFmtId="1" fontId="7" fillId="3" borderId="0" xfId="4" applyNumberFormat="1" applyFill="1"/>
    <xf numFmtId="0" fontId="7" fillId="3" borderId="5" xfId="4" applyFill="1" applyBorder="1"/>
    <xf numFmtId="1" fontId="7" fillId="3" borderId="5" xfId="4" applyNumberFormat="1" applyFill="1" applyBorder="1"/>
    <xf numFmtId="0" fontId="7" fillId="0" borderId="5" xfId="4" applyBorder="1"/>
    <xf numFmtId="1" fontId="7" fillId="0" borderId="5" xfId="4" applyNumberFormat="1" applyBorder="1"/>
    <xf numFmtId="0" fontId="1" fillId="0" borderId="3" xfId="0" applyFont="1" applyBorder="1" applyAlignment="1">
      <alignment horizontal="center"/>
    </xf>
    <xf numFmtId="0" fontId="1" fillId="0" borderId="4" xfId="0" applyFont="1" applyBorder="1" applyAlignment="1">
      <alignment horizontal="center" vertical="center" wrapText="1"/>
    </xf>
    <xf numFmtId="1" fontId="1" fillId="0" borderId="14" xfId="0" applyNumberFormat="1" applyFont="1" applyBorder="1" applyAlignment="1">
      <alignment horizontal="left" vertical="top"/>
    </xf>
    <xf numFmtId="1" fontId="1" fillId="0" borderId="16" xfId="0" applyNumberFormat="1" applyFont="1" applyBorder="1" applyAlignment="1">
      <alignment horizontal="left" vertical="top"/>
    </xf>
    <xf numFmtId="2" fontId="0" fillId="0" borderId="17" xfId="0" applyNumberFormat="1" applyBorder="1"/>
    <xf numFmtId="0" fontId="0" fillId="0" borderId="18" xfId="0" applyBorder="1"/>
    <xf numFmtId="2" fontId="0" fillId="0" borderId="15" xfId="0" applyNumberFormat="1" applyBorder="1"/>
    <xf numFmtId="0" fontId="0" fillId="0" borderId="16" xfId="0" applyBorder="1"/>
    <xf numFmtId="0" fontId="1" fillId="0" borderId="19" xfId="0" applyFont="1" applyBorder="1" applyAlignment="1">
      <alignment horizontal="center"/>
    </xf>
    <xf numFmtId="1" fontId="1" fillId="0" borderId="19" xfId="0" applyNumberFormat="1" applyFont="1" applyBorder="1"/>
    <xf numFmtId="0" fontId="0" fillId="0" borderId="17" xfId="0" applyBorder="1"/>
    <xf numFmtId="2" fontId="0" fillId="0" borderId="0" xfId="0" applyNumberFormat="1" applyAlignment="1">
      <alignment horizontal="center"/>
    </xf>
    <xf numFmtId="1" fontId="0" fillId="0" borderId="0" xfId="0" applyNumberFormat="1" applyAlignment="1">
      <alignment horizontal="center"/>
    </xf>
    <xf numFmtId="0" fontId="0" fillId="0" borderId="18" xfId="0" applyBorder="1" applyAlignment="1">
      <alignment horizontal="center"/>
    </xf>
    <xf numFmtId="0" fontId="0" fillId="0" borderId="15" xfId="0" applyBorder="1"/>
    <xf numFmtId="1" fontId="0" fillId="0" borderId="4" xfId="0" applyNumberFormat="1" applyBorder="1" applyAlignment="1">
      <alignment horizontal="center"/>
    </xf>
    <xf numFmtId="0" fontId="0" fillId="0" borderId="16" xfId="0" applyBorder="1" applyAlignment="1">
      <alignment horizontal="center"/>
    </xf>
    <xf numFmtId="0" fontId="1" fillId="0" borderId="17" xfId="0" applyFont="1" applyBorder="1"/>
    <xf numFmtId="0" fontId="0" fillId="0" borderId="17" xfId="0" applyBorder="1" applyAlignment="1">
      <alignment horizontal="left" indent="2"/>
    </xf>
    <xf numFmtId="165" fontId="0" fillId="0" borderId="18" xfId="1" applyNumberFormat="1" applyFont="1" applyBorder="1" applyAlignment="1">
      <alignment horizontal="right"/>
    </xf>
    <xf numFmtId="4" fontId="0" fillId="0" borderId="18" xfId="0" applyNumberFormat="1" applyBorder="1" applyAlignment="1">
      <alignment horizontal="right"/>
    </xf>
    <xf numFmtId="0" fontId="0" fillId="0" borderId="15" xfId="0" applyBorder="1" applyAlignment="1">
      <alignment horizontal="left" indent="2"/>
    </xf>
    <xf numFmtId="0" fontId="0" fillId="0" borderId="16" xfId="0" applyBorder="1" applyAlignment="1">
      <alignment horizontal="right"/>
    </xf>
    <xf numFmtId="0" fontId="0" fillId="0" borderId="18" xfId="0" applyBorder="1" applyAlignment="1">
      <alignment horizontal="right"/>
    </xf>
    <xf numFmtId="0" fontId="1" fillId="0" borderId="16" xfId="0" applyFont="1"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13" xfId="0" applyFont="1" applyBorder="1" applyAlignment="1">
      <alignment vertical="center"/>
    </xf>
    <xf numFmtId="0" fontId="1" fillId="0" borderId="15" xfId="0" applyFont="1" applyBorder="1" applyAlignment="1">
      <alignment vertical="center"/>
    </xf>
    <xf numFmtId="0" fontId="0" fillId="0" borderId="18" xfId="0" applyBorder="1" applyAlignment="1">
      <alignment horizontal="center" vertical="center"/>
    </xf>
    <xf numFmtId="0" fontId="0" fillId="5" borderId="16" xfId="0" applyFill="1" applyBorder="1" applyAlignment="1">
      <alignment horizontal="center" vertical="center"/>
    </xf>
    <xf numFmtId="1" fontId="1" fillId="0" borderId="16" xfId="0" applyNumberFormat="1" applyFont="1" applyBorder="1"/>
    <xf numFmtId="0" fontId="0" fillId="5" borderId="16" xfId="0" applyFill="1" applyBorder="1" applyAlignment="1">
      <alignment horizontal="center"/>
    </xf>
    <xf numFmtId="167" fontId="0" fillId="0" borderId="0" xfId="0" applyNumberFormat="1" applyAlignment="1">
      <alignment horizontal="center" vertical="center"/>
    </xf>
    <xf numFmtId="167" fontId="0" fillId="0" borderId="4" xfId="0" applyNumberFormat="1" applyBorder="1" applyAlignment="1">
      <alignment horizontal="center" vertical="center"/>
    </xf>
    <xf numFmtId="167" fontId="0" fillId="0" borderId="0" xfId="0" applyNumberFormat="1" applyAlignment="1">
      <alignment horizontal="center"/>
    </xf>
    <xf numFmtId="167" fontId="0" fillId="5" borderId="4" xfId="0" applyNumberFormat="1" applyFill="1" applyBorder="1" applyAlignment="1">
      <alignment horizontal="center"/>
    </xf>
    <xf numFmtId="167" fontId="0" fillId="0" borderId="0" xfId="0" applyNumberFormat="1"/>
    <xf numFmtId="167" fontId="0" fillId="0" borderId="4" xfId="0" applyNumberFormat="1" applyBorder="1"/>
    <xf numFmtId="167" fontId="0" fillId="0" borderId="4" xfId="0" applyNumberFormat="1" applyBorder="1" applyAlignment="1">
      <alignment horizontal="center"/>
    </xf>
    <xf numFmtId="0" fontId="0" fillId="0" borderId="0" xfId="0" applyAlignment="1">
      <alignment horizontal="left" wrapText="1"/>
    </xf>
    <xf numFmtId="0" fontId="0" fillId="0" borderId="13" xfId="0" applyBorder="1" applyAlignment="1">
      <alignment horizontal="left"/>
    </xf>
    <xf numFmtId="0" fontId="0" fillId="0" borderId="8" xfId="0" applyBorder="1" applyAlignment="1">
      <alignment horizontal="left"/>
    </xf>
    <xf numFmtId="0" fontId="0" fillId="0" borderId="17" xfId="0" applyBorder="1" applyAlignment="1">
      <alignment horizontal="left"/>
    </xf>
    <xf numFmtId="0" fontId="0" fillId="0" borderId="15" xfId="0" applyBorder="1" applyAlignment="1">
      <alignment horizontal="left"/>
    </xf>
    <xf numFmtId="0" fontId="0" fillId="0" borderId="4" xfId="0" applyBorder="1" applyAlignment="1">
      <alignment horizontal="left"/>
    </xf>
    <xf numFmtId="2" fontId="0" fillId="2" borderId="0" xfId="0" applyNumberFormat="1" applyFill="1"/>
    <xf numFmtId="1" fontId="0" fillId="2" borderId="0" xfId="0" applyNumberFormat="1" applyFill="1"/>
    <xf numFmtId="1" fontId="7" fillId="2" borderId="0" xfId="0" applyNumberFormat="1" applyFont="1" applyFill="1"/>
    <xf numFmtId="9" fontId="0" fillId="2" borderId="0" xfId="2" applyFont="1" applyFill="1"/>
    <xf numFmtId="1" fontId="8" fillId="0" borderId="0" xfId="3" applyNumberFormat="1"/>
    <xf numFmtId="2" fontId="8" fillId="0" borderId="0" xfId="3" applyNumberFormat="1"/>
    <xf numFmtId="0" fontId="0" fillId="0" borderId="0" xfId="0" applyAlignment="1">
      <alignment horizontal="left" vertical="top" wrapText="1" indent="3"/>
    </xf>
    <xf numFmtId="0" fontId="0" fillId="0" borderId="0" xfId="0" applyAlignment="1">
      <alignment vertical="top" wrapText="1"/>
    </xf>
    <xf numFmtId="167" fontId="8" fillId="0" borderId="0" xfId="3" applyNumberFormat="1"/>
    <xf numFmtId="1" fontId="8" fillId="2" borderId="0" xfId="3" applyNumberFormat="1" applyFill="1"/>
    <xf numFmtId="167" fontId="8" fillId="2" borderId="0" xfId="3" applyNumberFormat="1" applyFill="1"/>
    <xf numFmtId="0" fontId="0" fillId="0" borderId="0" xfId="0" applyAlignment="1">
      <alignment horizontal="left" vertical="top" wrapText="1"/>
    </xf>
    <xf numFmtId="0" fontId="0" fillId="4" borderId="9" xfId="0" applyFill="1" applyBorder="1" applyAlignment="1">
      <alignment horizontal="left" vertical="center"/>
    </xf>
    <xf numFmtId="0" fontId="0" fillId="4" borderId="11" xfId="0" applyFill="1" applyBorder="1" applyAlignment="1">
      <alignment horizontal="left" vertical="center"/>
    </xf>
    <xf numFmtId="0" fontId="0" fillId="4" borderId="10" xfId="0" applyFill="1" applyBorder="1" applyAlignment="1">
      <alignment horizontal="left" vertical="center"/>
    </xf>
    <xf numFmtId="0" fontId="0" fillId="0" borderId="13" xfId="0" applyBorder="1" applyAlignment="1">
      <alignment horizontal="left"/>
    </xf>
    <xf numFmtId="0" fontId="0" fillId="0" borderId="8" xfId="0" applyBorder="1" applyAlignment="1">
      <alignment horizontal="left"/>
    </xf>
    <xf numFmtId="0" fontId="0" fillId="0" borderId="17" xfId="0" applyBorder="1" applyAlignment="1">
      <alignment horizontal="left"/>
    </xf>
    <xf numFmtId="0" fontId="0" fillId="0" borderId="0" xfId="0" applyAlignment="1">
      <alignment horizontal="left"/>
    </xf>
    <xf numFmtId="0" fontId="1" fillId="0" borderId="13"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0" xfId="0" applyFont="1" applyAlignment="1">
      <alignment horizontal="left" vertical="top" wrapText="1"/>
    </xf>
    <xf numFmtId="0" fontId="1" fillId="0" borderId="0" xfId="0" applyFont="1" applyAlignment="1">
      <alignment horizontal="left" vertical="center" wrapText="1"/>
    </xf>
    <xf numFmtId="0" fontId="6" fillId="0" borderId="0" xfId="0" applyFont="1" applyAlignment="1">
      <alignment horizontal="left" vertical="top" wrapText="1"/>
    </xf>
    <xf numFmtId="0" fontId="0" fillId="0" borderId="0" xfId="0" applyAlignment="1">
      <alignment horizontal="right"/>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0" fillId="4" borderId="9" xfId="0" applyFill="1" applyBorder="1" applyAlignment="1">
      <alignment horizontal="left" vertical="top"/>
    </xf>
    <xf numFmtId="0" fontId="0" fillId="4" borderId="11" xfId="0" applyFill="1" applyBorder="1" applyAlignment="1">
      <alignment horizontal="left" vertical="top"/>
    </xf>
    <xf numFmtId="0" fontId="0" fillId="4" borderId="10" xfId="0" applyFill="1" applyBorder="1" applyAlignment="1">
      <alignment horizontal="left" vertical="top"/>
    </xf>
    <xf numFmtId="0" fontId="1" fillId="0" borderId="13" xfId="0" applyFont="1" applyBorder="1" applyAlignment="1">
      <alignment horizontal="left" vertical="center"/>
    </xf>
    <xf numFmtId="0" fontId="1" fillId="0" borderId="8" xfId="0" applyFont="1" applyBorder="1" applyAlignment="1">
      <alignment horizontal="left" vertical="center"/>
    </xf>
    <xf numFmtId="0" fontId="1" fillId="0" borderId="15" xfId="0" applyFont="1" applyBorder="1" applyAlignment="1">
      <alignment horizontal="left" vertical="center"/>
    </xf>
    <xf numFmtId="0" fontId="1" fillId="0" borderId="4" xfId="0" applyFont="1" applyBorder="1" applyAlignment="1">
      <alignment horizontal="left" vertical="center"/>
    </xf>
    <xf numFmtId="0" fontId="0" fillId="0" borderId="0" xfId="0" applyAlignment="1">
      <alignment horizontal="left" vertical="top" wrapText="1" indent="3"/>
    </xf>
    <xf numFmtId="0" fontId="1" fillId="0" borderId="3" xfId="0" applyFont="1" applyBorder="1" applyAlignment="1">
      <alignment horizontal="center"/>
    </xf>
    <xf numFmtId="0" fontId="1" fillId="0" borderId="19" xfId="0" applyFont="1" applyBorder="1" applyAlignment="1">
      <alignment horizontal="center"/>
    </xf>
    <xf numFmtId="0" fontId="0" fillId="0" borderId="8" xfId="0" applyBorder="1" applyAlignment="1">
      <alignment horizontal="right"/>
    </xf>
    <xf numFmtId="164" fontId="0" fillId="0" borderId="0" xfId="1" applyNumberFormat="1" applyFont="1" applyFill="1" applyBorder="1" applyAlignment="1">
      <alignment horizontal="right"/>
    </xf>
    <xf numFmtId="164" fontId="0" fillId="0" borderId="4" xfId="1" applyNumberFormat="1" applyFont="1" applyFill="1" applyBorder="1" applyAlignment="1">
      <alignment horizontal="right"/>
    </xf>
    <xf numFmtId="0" fontId="0" fillId="0" borderId="4" xfId="0" applyBorder="1" applyAlignment="1">
      <alignment horizontal="right"/>
    </xf>
    <xf numFmtId="0" fontId="1" fillId="0" borderId="3" xfId="0" applyFont="1" applyBorder="1" applyAlignment="1">
      <alignment horizontal="center" vertical="center" wrapText="1"/>
    </xf>
  </cellXfs>
  <cellStyles count="9">
    <cellStyle name="Comma" xfId="1" builtinId="3"/>
    <cellStyle name="Comma 2" xfId="6" xr:uid="{221A54DD-D245-4A33-88CC-1A0F1FC897C9}"/>
    <cellStyle name="Normal" xfId="0" builtinId="0"/>
    <cellStyle name="Normal 2" xfId="3" xr:uid="{00000000-0005-0000-0000-000002000000}"/>
    <cellStyle name="Normal 2 2" xfId="8" xr:uid="{EF70D076-A1BC-4259-9FA6-DE832F22CE5A}"/>
    <cellStyle name="Normal 3" xfId="4" xr:uid="{00000000-0005-0000-0000-000003000000}"/>
    <cellStyle name="Normal 4" xfId="5" xr:uid="{460D95CC-9959-4A4C-9ACE-B050C977CF45}"/>
    <cellStyle name="Percent" xfId="2" builtinId="5"/>
    <cellStyle name="Percent 2" xfId="7" xr:uid="{C094E91C-CD96-4F18-99B9-A9ADF3E25235}"/>
  </cellStyles>
  <dxfs count="71">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numFmt numFmtId="166" formatCode="0_ ;\-0\ "/>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All NHS trusts in England</c:v>
          </c:tx>
          <c:spPr>
            <a:solidFill>
              <a:schemeClr val="accent1"/>
            </a:solidFill>
            <a:ln w="25400">
              <a:noFill/>
            </a:ln>
            <a:effectLst/>
          </c:spPr>
          <c:cat>
            <c:numRef>
              <c:f>trust_indicator_data!$AN$2:$AN$127</c:f>
              <c:numCache>
                <c:formatCode>0.00</c:formatCode>
                <c:ptCount val="126"/>
                <c:pt idx="0">
                  <c:v>47</c:v>
                </c:pt>
                <c:pt idx="1">
                  <c:v>81</c:v>
                </c:pt>
                <c:pt idx="2">
                  <c:v>115</c:v>
                </c:pt>
                <c:pt idx="3">
                  <c:v>112</c:v>
                </c:pt>
                <c:pt idx="4">
                  <c:v>10</c:v>
                </c:pt>
                <c:pt idx="5">
                  <c:v>44</c:v>
                </c:pt>
                <c:pt idx="6">
                  <c:v>11</c:v>
                </c:pt>
                <c:pt idx="7">
                  <c:v>34</c:v>
                </c:pt>
                <c:pt idx="8">
                  <c:v>72</c:v>
                </c:pt>
                <c:pt idx="9">
                  <c:v>93</c:v>
                </c:pt>
                <c:pt idx="10">
                  <c:v>78</c:v>
                </c:pt>
                <c:pt idx="11">
                  <c:v>126</c:v>
                </c:pt>
                <c:pt idx="12">
                  <c:v>46</c:v>
                </c:pt>
                <c:pt idx="13">
                  <c:v>63</c:v>
                </c:pt>
                <c:pt idx="14">
                  <c:v>23</c:v>
                </c:pt>
                <c:pt idx="15">
                  <c:v>31</c:v>
                </c:pt>
                <c:pt idx="16">
                  <c:v>123</c:v>
                </c:pt>
                <c:pt idx="17">
                  <c:v>56</c:v>
                </c:pt>
                <c:pt idx="18">
                  <c:v>16</c:v>
                </c:pt>
                <c:pt idx="19">
                  <c:v>59</c:v>
                </c:pt>
                <c:pt idx="20">
                  <c:v>76</c:v>
                </c:pt>
                <c:pt idx="21">
                  <c:v>49</c:v>
                </c:pt>
                <c:pt idx="22">
                  <c:v>68</c:v>
                </c:pt>
                <c:pt idx="23">
                  <c:v>64</c:v>
                </c:pt>
                <c:pt idx="24">
                  <c:v>107</c:v>
                </c:pt>
                <c:pt idx="25">
                  <c:v>105</c:v>
                </c:pt>
                <c:pt idx="26">
                  <c:v>70</c:v>
                </c:pt>
                <c:pt idx="27">
                  <c:v>58</c:v>
                </c:pt>
                <c:pt idx="28">
                  <c:v>22</c:v>
                </c:pt>
                <c:pt idx="29">
                  <c:v>125</c:v>
                </c:pt>
                <c:pt idx="30">
                  <c:v>90</c:v>
                </c:pt>
                <c:pt idx="31">
                  <c:v>62</c:v>
                </c:pt>
                <c:pt idx="32">
                  <c:v>7</c:v>
                </c:pt>
                <c:pt idx="33">
                  <c:v>25</c:v>
                </c:pt>
                <c:pt idx="34">
                  <c:v>122</c:v>
                </c:pt>
                <c:pt idx="35">
                  <c:v>17</c:v>
                </c:pt>
                <c:pt idx="36">
                  <c:v>12</c:v>
                </c:pt>
                <c:pt idx="37">
                  <c:v>28</c:v>
                </c:pt>
                <c:pt idx="38">
                  <c:v>95</c:v>
                </c:pt>
                <c:pt idx="39">
                  <c:v>51</c:v>
                </c:pt>
                <c:pt idx="40">
                  <c:v>48</c:v>
                </c:pt>
                <c:pt idx="41">
                  <c:v>88</c:v>
                </c:pt>
                <c:pt idx="42">
                  <c:v>83</c:v>
                </c:pt>
                <c:pt idx="43">
                  <c:v>38</c:v>
                </c:pt>
                <c:pt idx="44">
                  <c:v>9</c:v>
                </c:pt>
                <c:pt idx="45">
                  <c:v>84</c:v>
                </c:pt>
                <c:pt idx="46">
                  <c:v>6</c:v>
                </c:pt>
                <c:pt idx="47">
                  <c:v>54</c:v>
                </c:pt>
                <c:pt idx="48">
                  <c:v>91</c:v>
                </c:pt>
                <c:pt idx="49">
                  <c:v>29</c:v>
                </c:pt>
                <c:pt idx="50">
                  <c:v>4</c:v>
                </c:pt>
                <c:pt idx="51">
                  <c:v>61</c:v>
                </c:pt>
                <c:pt idx="52">
                  <c:v>98</c:v>
                </c:pt>
                <c:pt idx="53">
                  <c:v>15</c:v>
                </c:pt>
                <c:pt idx="54">
                  <c:v>69</c:v>
                </c:pt>
                <c:pt idx="55">
                  <c:v>116</c:v>
                </c:pt>
                <c:pt idx="56">
                  <c:v>33</c:v>
                </c:pt>
                <c:pt idx="57">
                  <c:v>89</c:v>
                </c:pt>
                <c:pt idx="58">
                  <c:v>117</c:v>
                </c:pt>
                <c:pt idx="59">
                  <c:v>53</c:v>
                </c:pt>
                <c:pt idx="60">
                  <c:v>85</c:v>
                </c:pt>
                <c:pt idx="61">
                  <c:v>104</c:v>
                </c:pt>
                <c:pt idx="62">
                  <c:v>86</c:v>
                </c:pt>
                <c:pt idx="63">
                  <c:v>75</c:v>
                </c:pt>
                <c:pt idx="64">
                  <c:v>79</c:v>
                </c:pt>
                <c:pt idx="65">
                  <c:v>14</c:v>
                </c:pt>
                <c:pt idx="66">
                  <c:v>19</c:v>
                </c:pt>
                <c:pt idx="67">
                  <c:v>3</c:v>
                </c:pt>
                <c:pt idx="68">
                  <c:v>35</c:v>
                </c:pt>
                <c:pt idx="69">
                  <c:v>39</c:v>
                </c:pt>
                <c:pt idx="70">
                  <c:v>87</c:v>
                </c:pt>
                <c:pt idx="71">
                  <c:v>106</c:v>
                </c:pt>
                <c:pt idx="72">
                  <c:v>20</c:v>
                </c:pt>
                <c:pt idx="73">
                  <c:v>50</c:v>
                </c:pt>
                <c:pt idx="74">
                  <c:v>100</c:v>
                </c:pt>
                <c:pt idx="75">
                  <c:v>103</c:v>
                </c:pt>
                <c:pt idx="76">
                  <c:v>45</c:v>
                </c:pt>
                <c:pt idx="77">
                  <c:v>66</c:v>
                </c:pt>
                <c:pt idx="78">
                  <c:v>96</c:v>
                </c:pt>
                <c:pt idx="79">
                  <c:v>57</c:v>
                </c:pt>
                <c:pt idx="80">
                  <c:v>114</c:v>
                </c:pt>
                <c:pt idx="81">
                  <c:v>60</c:v>
                </c:pt>
                <c:pt idx="82">
                  <c:v>80</c:v>
                </c:pt>
                <c:pt idx="83">
                  <c:v>26</c:v>
                </c:pt>
                <c:pt idx="84">
                  <c:v>92</c:v>
                </c:pt>
                <c:pt idx="85">
                  <c:v>109</c:v>
                </c:pt>
                <c:pt idx="86">
                  <c:v>108</c:v>
                </c:pt>
                <c:pt idx="87">
                  <c:v>8</c:v>
                </c:pt>
                <c:pt idx="88">
                  <c:v>97</c:v>
                </c:pt>
                <c:pt idx="89">
                  <c:v>43</c:v>
                </c:pt>
                <c:pt idx="90">
                  <c:v>27</c:v>
                </c:pt>
                <c:pt idx="91">
                  <c:v>40</c:v>
                </c:pt>
                <c:pt idx="92">
                  <c:v>2</c:v>
                </c:pt>
                <c:pt idx="93">
                  <c:v>1</c:v>
                </c:pt>
                <c:pt idx="94">
                  <c:v>73</c:v>
                </c:pt>
                <c:pt idx="95">
                  <c:v>121</c:v>
                </c:pt>
                <c:pt idx="96">
                  <c:v>13</c:v>
                </c:pt>
                <c:pt idx="97">
                  <c:v>118</c:v>
                </c:pt>
                <c:pt idx="98">
                  <c:v>111</c:v>
                </c:pt>
                <c:pt idx="99">
                  <c:v>21</c:v>
                </c:pt>
                <c:pt idx="100">
                  <c:v>77</c:v>
                </c:pt>
                <c:pt idx="101">
                  <c:v>82</c:v>
                </c:pt>
                <c:pt idx="102">
                  <c:v>71</c:v>
                </c:pt>
                <c:pt idx="103">
                  <c:v>37</c:v>
                </c:pt>
                <c:pt idx="104">
                  <c:v>94</c:v>
                </c:pt>
                <c:pt idx="105">
                  <c:v>18</c:v>
                </c:pt>
                <c:pt idx="106">
                  <c:v>5</c:v>
                </c:pt>
                <c:pt idx="107">
                  <c:v>42</c:v>
                </c:pt>
                <c:pt idx="108">
                  <c:v>30</c:v>
                </c:pt>
                <c:pt idx="109">
                  <c:v>32</c:v>
                </c:pt>
                <c:pt idx="110">
                  <c:v>52</c:v>
                </c:pt>
                <c:pt idx="111">
                  <c:v>102</c:v>
                </c:pt>
                <c:pt idx="112">
                  <c:v>67</c:v>
                </c:pt>
                <c:pt idx="113">
                  <c:v>101</c:v>
                </c:pt>
                <c:pt idx="114">
                  <c:v>24</c:v>
                </c:pt>
                <c:pt idx="115">
                  <c:v>113</c:v>
                </c:pt>
                <c:pt idx="116">
                  <c:v>41</c:v>
                </c:pt>
                <c:pt idx="117">
                  <c:v>110</c:v>
                </c:pt>
                <c:pt idx="118">
                  <c:v>124</c:v>
                </c:pt>
                <c:pt idx="119">
                  <c:v>55</c:v>
                </c:pt>
                <c:pt idx="120">
                  <c:v>36</c:v>
                </c:pt>
                <c:pt idx="121">
                  <c:v>120</c:v>
                </c:pt>
                <c:pt idx="122">
                  <c:v>74</c:v>
                </c:pt>
                <c:pt idx="123">
                  <c:v>119</c:v>
                </c:pt>
                <c:pt idx="124">
                  <c:v>99</c:v>
                </c:pt>
                <c:pt idx="125">
                  <c:v>65</c:v>
                </c:pt>
              </c:numCache>
            </c:numRef>
          </c:cat>
          <c:val>
            <c:numRef>
              <c:f>trust_indicator_data!$AM$2:$AM$127</c:f>
              <c:numCache>
                <c:formatCode>0.00</c:formatCode>
                <c:ptCount val="126"/>
                <c:pt idx="0">
                  <c:v>46.774192810058594</c:v>
                </c:pt>
                <c:pt idx="1">
                  <c:v>51.851852416992188</c:v>
                </c:pt>
                <c:pt idx="2">
                  <c:v>58.547008514404297</c:v>
                </c:pt>
                <c:pt idx="3">
                  <c:v>58.208953857421875</c:v>
                </c:pt>
                <c:pt idx="4">
                  <c:v>37.027706146240234</c:v>
                </c:pt>
                <c:pt idx="5">
                  <c:v>46.351932525634766</c:v>
                </c:pt>
                <c:pt idx="6">
                  <c:v>37.269371032714844</c:v>
                </c:pt>
                <c:pt idx="7">
                  <c:v>44.444442749023438</c:v>
                </c:pt>
                <c:pt idx="8">
                  <c:v>50.643775939941406</c:v>
                </c:pt>
                <c:pt idx="9">
                  <c:v>53.658535003662109</c:v>
                </c:pt>
                <c:pt idx="10">
                  <c:v>51.398601531982422</c:v>
                </c:pt>
                <c:pt idx="11">
                  <c:v>79.381446838378906</c:v>
                </c:pt>
                <c:pt idx="12">
                  <c:v>46.596858978271484</c:v>
                </c:pt>
                <c:pt idx="13">
                  <c:v>49.361701965332031</c:v>
                </c:pt>
                <c:pt idx="14">
                  <c:v>42.016807556152344</c:v>
                </c:pt>
                <c:pt idx="15">
                  <c:v>43.735225677490234</c:v>
                </c:pt>
                <c:pt idx="16">
                  <c:v>63.218391418457031</c:v>
                </c:pt>
                <c:pt idx="17">
                  <c:v>48.333332061767578</c:v>
                </c:pt>
                <c:pt idx="18">
                  <c:v>39.616615295410156</c:v>
                </c:pt>
                <c:pt idx="19">
                  <c:v>48.993289947509766</c:v>
                </c:pt>
                <c:pt idx="20">
                  <c:v>50.931678771972656</c:v>
                </c:pt>
                <c:pt idx="21">
                  <c:v>47.272727966308594</c:v>
                </c:pt>
                <c:pt idx="22">
                  <c:v>49.736843109130859</c:v>
                </c:pt>
                <c:pt idx="23">
                  <c:v>49.523811340332031</c:v>
                </c:pt>
                <c:pt idx="24">
                  <c:v>55.681819915771484</c:v>
                </c:pt>
                <c:pt idx="25">
                  <c:v>54.871795654296875</c:v>
                </c:pt>
                <c:pt idx="26">
                  <c:v>50.549449920654297</c:v>
                </c:pt>
                <c:pt idx="27">
                  <c:v>48.967552185058594</c:v>
                </c:pt>
                <c:pt idx="28">
                  <c:v>41.747573852539063</c:v>
                </c:pt>
                <c:pt idx="29">
                  <c:v>71.264366149902344</c:v>
                </c:pt>
                <c:pt idx="30">
                  <c:v>53.386455535888672</c:v>
                </c:pt>
                <c:pt idx="31">
                  <c:v>49.358974456787109</c:v>
                </c:pt>
                <c:pt idx="32">
                  <c:v>33.75</c:v>
                </c:pt>
                <c:pt idx="33">
                  <c:v>42.528736114501953</c:v>
                </c:pt>
                <c:pt idx="34">
                  <c:v>62.962963104248047</c:v>
                </c:pt>
                <c:pt idx="35">
                  <c:v>39.795917510986328</c:v>
                </c:pt>
                <c:pt idx="36">
                  <c:v>37.469585418701172</c:v>
                </c:pt>
                <c:pt idx="37">
                  <c:v>43.032787322998047</c:v>
                </c:pt>
                <c:pt idx="38">
                  <c:v>53.684211730957031</c:v>
                </c:pt>
                <c:pt idx="39">
                  <c:v>47.441860198974609</c:v>
                </c:pt>
                <c:pt idx="40">
                  <c:v>46.835441589355469</c:v>
                </c:pt>
                <c:pt idx="41">
                  <c:v>53.003532409667969</c:v>
                </c:pt>
                <c:pt idx="42">
                  <c:v>52.2935791015625</c:v>
                </c:pt>
                <c:pt idx="43">
                  <c:v>45.238094329833984</c:v>
                </c:pt>
                <c:pt idx="44">
                  <c:v>35.871402740478516</c:v>
                </c:pt>
                <c:pt idx="45">
                  <c:v>52.301254272460938</c:v>
                </c:pt>
                <c:pt idx="46">
                  <c:v>32.580646514892578</c:v>
                </c:pt>
                <c:pt idx="47">
                  <c:v>48.163265228271484</c:v>
                </c:pt>
                <c:pt idx="48">
                  <c:v>53.571430206298828</c:v>
                </c:pt>
                <c:pt idx="49">
                  <c:v>43.396224975585938</c:v>
                </c:pt>
                <c:pt idx="50">
                  <c:v>30.476190567016602</c:v>
                </c:pt>
                <c:pt idx="51">
                  <c:v>49.065422058105469</c:v>
                </c:pt>
                <c:pt idx="52">
                  <c:v>54.181182861328125</c:v>
                </c:pt>
                <c:pt idx="53">
                  <c:v>39.416057586669922</c:v>
                </c:pt>
                <c:pt idx="54">
                  <c:v>50.115474700927734</c:v>
                </c:pt>
                <c:pt idx="55">
                  <c:v>58.715595245361328</c:v>
                </c:pt>
                <c:pt idx="56">
                  <c:v>43.888889312744141</c:v>
                </c:pt>
                <c:pt idx="57">
                  <c:v>53.278690338134766</c:v>
                </c:pt>
                <c:pt idx="58">
                  <c:v>58.851673126220703</c:v>
                </c:pt>
                <c:pt idx="59">
                  <c:v>48.148147583007813</c:v>
                </c:pt>
                <c:pt idx="60">
                  <c:v>52.346569061279297</c:v>
                </c:pt>
                <c:pt idx="61">
                  <c:v>54.605262756347656</c:v>
                </c:pt>
                <c:pt idx="62">
                  <c:v>52.358489990234375</c:v>
                </c:pt>
                <c:pt idx="63">
                  <c:v>50.925926208496094</c:v>
                </c:pt>
                <c:pt idx="64">
                  <c:v>51.660514831542969</c:v>
                </c:pt>
                <c:pt idx="65">
                  <c:v>39.307537078857422</c:v>
                </c:pt>
                <c:pt idx="66">
                  <c:v>40.055248260498047</c:v>
                </c:pt>
                <c:pt idx="67">
                  <c:v>29.949237823486328</c:v>
                </c:pt>
                <c:pt idx="68">
                  <c:v>44.542774200439453</c:v>
                </c:pt>
                <c:pt idx="69">
                  <c:v>45.394737243652344</c:v>
                </c:pt>
                <c:pt idx="70">
                  <c:v>52.606636047363281</c:v>
                </c:pt>
                <c:pt idx="71">
                  <c:v>55.185184478759766</c:v>
                </c:pt>
                <c:pt idx="72">
                  <c:v>40.909091949462891</c:v>
                </c:pt>
                <c:pt idx="73">
                  <c:v>47.346939086914063</c:v>
                </c:pt>
                <c:pt idx="74">
                  <c:v>54.368930816650391</c:v>
                </c:pt>
                <c:pt idx="75">
                  <c:v>54.594593048095703</c:v>
                </c:pt>
                <c:pt idx="76">
                  <c:v>46.551723480224609</c:v>
                </c:pt>
                <c:pt idx="77">
                  <c:v>49.579830169677734</c:v>
                </c:pt>
                <c:pt idx="78">
                  <c:v>53.793102264404297</c:v>
                </c:pt>
                <c:pt idx="79">
                  <c:v>48.724491119384766</c:v>
                </c:pt>
                <c:pt idx="80">
                  <c:v>58.536586761474609</c:v>
                </c:pt>
                <c:pt idx="81">
                  <c:v>49.029125213623047</c:v>
                </c:pt>
                <c:pt idx="82">
                  <c:v>51.834861755371094</c:v>
                </c:pt>
                <c:pt idx="83">
                  <c:v>42.735042572021484</c:v>
                </c:pt>
                <c:pt idx="84">
                  <c:v>53.652969360351563</c:v>
                </c:pt>
                <c:pt idx="85">
                  <c:v>57.333332061767578</c:v>
                </c:pt>
                <c:pt idx="86">
                  <c:v>55.882354736328125</c:v>
                </c:pt>
                <c:pt idx="87">
                  <c:v>33.908046722412109</c:v>
                </c:pt>
                <c:pt idx="88">
                  <c:v>54.035087585449219</c:v>
                </c:pt>
                <c:pt idx="89">
                  <c:v>46.192893981933594</c:v>
                </c:pt>
                <c:pt idx="90">
                  <c:v>42.857143402099609</c:v>
                </c:pt>
                <c:pt idx="91">
                  <c:v>45.625</c:v>
                </c:pt>
                <c:pt idx="92">
                  <c:v>28.571428298950195</c:v>
                </c:pt>
                <c:pt idx="93">
                  <c:v>0</c:v>
                </c:pt>
                <c:pt idx="94">
                  <c:v>50.735294342041016</c:v>
                </c:pt>
                <c:pt idx="95">
                  <c:v>62.244899749755859</c:v>
                </c:pt>
                <c:pt idx="96">
                  <c:v>37.878787994384766</c:v>
                </c:pt>
                <c:pt idx="97">
                  <c:v>59.821430206298828</c:v>
                </c:pt>
                <c:pt idx="98">
                  <c:v>57.798164367675781</c:v>
                </c:pt>
                <c:pt idx="99">
                  <c:v>41.714286804199219</c:v>
                </c:pt>
                <c:pt idx="100">
                  <c:v>51.282051086425781</c:v>
                </c:pt>
                <c:pt idx="101">
                  <c:v>52.153110504150391</c:v>
                </c:pt>
                <c:pt idx="102">
                  <c:v>50.617282867431641</c:v>
                </c:pt>
                <c:pt idx="103">
                  <c:v>45.026176452636719</c:v>
                </c:pt>
                <c:pt idx="104">
                  <c:v>53.658535003662109</c:v>
                </c:pt>
                <c:pt idx="105">
                  <c:v>39.814815521240234</c:v>
                </c:pt>
                <c:pt idx="106">
                  <c:v>31.447963714599609</c:v>
                </c:pt>
                <c:pt idx="107">
                  <c:v>45.90643310546875</c:v>
                </c:pt>
                <c:pt idx="108">
                  <c:v>43.650794982910156</c:v>
                </c:pt>
                <c:pt idx="109">
                  <c:v>43.768115997314453</c:v>
                </c:pt>
                <c:pt idx="110">
                  <c:v>47.666667938232422</c:v>
                </c:pt>
                <c:pt idx="111">
                  <c:v>54.447441101074219</c:v>
                </c:pt>
                <c:pt idx="112">
                  <c:v>49.694499969482422</c:v>
                </c:pt>
                <c:pt idx="113">
                  <c:v>54.424777984619141</c:v>
                </c:pt>
                <c:pt idx="114">
                  <c:v>42.323650360107422</c:v>
                </c:pt>
                <c:pt idx="115">
                  <c:v>58.400001525878906</c:v>
                </c:pt>
                <c:pt idx="116">
                  <c:v>45.754718780517578</c:v>
                </c:pt>
                <c:pt idx="117">
                  <c:v>57.575756072998047</c:v>
                </c:pt>
                <c:pt idx="118">
                  <c:v>63.333332061767578</c:v>
                </c:pt>
                <c:pt idx="119">
                  <c:v>48.255813598632813</c:v>
                </c:pt>
                <c:pt idx="120">
                  <c:v>44.890510559082031</c:v>
                </c:pt>
                <c:pt idx="121">
                  <c:v>61.660079956054688</c:v>
                </c:pt>
                <c:pt idx="122">
                  <c:v>50.869564056396484</c:v>
                </c:pt>
                <c:pt idx="123">
                  <c:v>60.360359191894531</c:v>
                </c:pt>
                <c:pt idx="124">
                  <c:v>54.347827911376953</c:v>
                </c:pt>
                <c:pt idx="125">
                  <c:v>49.541282653808594</c:v>
                </c:pt>
              </c:numCache>
            </c:numRef>
          </c:val>
          <c:extLst>
            <c:ext xmlns:c16="http://schemas.microsoft.com/office/drawing/2014/chart" uri="{C3380CC4-5D6E-409C-BE32-E72D297353CC}">
              <c16:uniqueId val="{00000000-3D53-46E4-8949-1CFAA47B7508}"/>
            </c:ext>
          </c:extLst>
        </c:ser>
        <c:dLbls>
          <c:showLegendKey val="0"/>
          <c:showVal val="0"/>
          <c:showCatName val="0"/>
          <c:showSerName val="0"/>
          <c:showPercent val="0"/>
          <c:showBubbleSize val="0"/>
        </c:dLbls>
        <c:axId val="1687825856"/>
        <c:axId val="1717320176"/>
      </c:areaChart>
      <c:scatterChart>
        <c:scatterStyle val="lineMarker"/>
        <c:varyColors val="0"/>
        <c:ser>
          <c:idx val="2"/>
          <c:order val="1"/>
          <c:tx>
            <c:strRef>
              <c:f>Links!$B$12</c:f>
              <c:strCache>
                <c:ptCount val="1"/>
                <c:pt idx="0">
                  <c:v>Airedale NHS Foundation Trust</c:v>
                </c:pt>
              </c:strCache>
            </c:strRef>
          </c:tx>
          <c:spPr>
            <a:ln w="28575" cap="rnd">
              <a:solidFill>
                <a:schemeClr val="accent2"/>
              </a:solidFill>
              <a:round/>
            </a:ln>
            <a:effectLst/>
          </c:spPr>
          <c:marker>
            <c:symbol val="none"/>
          </c:marker>
          <c:xVal>
            <c:numRef>
              <c:f>Links!$C$20:$C$21</c:f>
              <c:numCache>
                <c:formatCode>0</c:formatCode>
                <c:ptCount val="2"/>
                <c:pt idx="0">
                  <c:v>47</c:v>
                </c:pt>
                <c:pt idx="1">
                  <c:v>47</c:v>
                </c:pt>
              </c:numCache>
            </c:numRef>
          </c:xVal>
          <c:yVal>
            <c:numRef>
              <c:f>Links!$D$20:$D$21</c:f>
              <c:numCache>
                <c:formatCode>General</c:formatCode>
                <c:ptCount val="2"/>
                <c:pt idx="0" formatCode="0.00">
                  <c:v>46.774192810058594</c:v>
                </c:pt>
                <c:pt idx="1">
                  <c:v>0</c:v>
                </c:pt>
              </c:numCache>
            </c:numRef>
          </c:yVal>
          <c:smooth val="0"/>
          <c:extLst>
            <c:ext xmlns:c16="http://schemas.microsoft.com/office/drawing/2014/chart" uri="{C3380CC4-5D6E-409C-BE32-E72D297353CC}">
              <c16:uniqueId val="{00000001-3D53-46E4-8949-1CFAA47B7508}"/>
            </c:ext>
          </c:extLst>
        </c:ser>
        <c:dLbls>
          <c:showLegendKey val="0"/>
          <c:showVal val="0"/>
          <c:showCatName val="0"/>
          <c:showSerName val="0"/>
          <c:showPercent val="0"/>
          <c:showBubbleSize val="0"/>
        </c:dLbls>
        <c:axId val="1687825856"/>
        <c:axId val="1717320176"/>
      </c:scatterChart>
      <c:dateAx>
        <c:axId val="1687825856"/>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NHS trust rank</a:t>
                </a:r>
                <a:r>
                  <a:rPr lang="en-GB" baseline="0"/>
                  <a:t> order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717320176"/>
        <c:crosses val="autoZero"/>
        <c:auto val="0"/>
        <c:lblOffset val="100"/>
        <c:baseTimeUnit val="days"/>
        <c:majorUnit val="10"/>
        <c:majorTimeUnit val="days"/>
      </c:dateAx>
      <c:valAx>
        <c:axId val="1717320176"/>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Links!$B$7</c:f>
              <c:strCache>
                <c:ptCount val="1"/>
                <c:pt idx="0">
                  <c:v>Proportion of patients with stage IV disease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7825856"/>
        <c:crossesAt val="1"/>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All NHS trusts in England</c:v>
          </c:tx>
          <c:spPr>
            <a:solidFill>
              <a:schemeClr val="accent1"/>
            </a:solidFill>
            <a:ln w="25400">
              <a:noFill/>
            </a:ln>
            <a:effectLst/>
          </c:spPr>
          <c:cat>
            <c:numRef>
              <c:f>trust_data_quality!$S$2:$S$127</c:f>
              <c:numCache>
                <c:formatCode>0.00</c:formatCode>
                <c:ptCount val="126"/>
                <c:pt idx="0">
                  <c:v>90</c:v>
                </c:pt>
                <c:pt idx="1">
                  <c:v>45</c:v>
                </c:pt>
                <c:pt idx="2">
                  <c:v>80</c:v>
                </c:pt>
                <c:pt idx="3">
                  <c:v>81</c:v>
                </c:pt>
                <c:pt idx="4">
                  <c:v>14</c:v>
                </c:pt>
                <c:pt idx="5">
                  <c:v>33</c:v>
                </c:pt>
                <c:pt idx="6">
                  <c:v>53</c:v>
                </c:pt>
                <c:pt idx="7">
                  <c:v>50</c:v>
                </c:pt>
                <c:pt idx="8">
                  <c:v>107</c:v>
                </c:pt>
                <c:pt idx="9">
                  <c:v>59</c:v>
                </c:pt>
                <c:pt idx="10">
                  <c:v>95</c:v>
                </c:pt>
                <c:pt idx="11">
                  <c:v>10</c:v>
                </c:pt>
                <c:pt idx="12">
                  <c:v>79</c:v>
                </c:pt>
                <c:pt idx="13">
                  <c:v>118</c:v>
                </c:pt>
                <c:pt idx="14">
                  <c:v>104</c:v>
                </c:pt>
                <c:pt idx="15">
                  <c:v>62</c:v>
                </c:pt>
                <c:pt idx="16">
                  <c:v>41</c:v>
                </c:pt>
                <c:pt idx="17">
                  <c:v>67</c:v>
                </c:pt>
                <c:pt idx="18">
                  <c:v>40</c:v>
                </c:pt>
                <c:pt idx="19">
                  <c:v>99</c:v>
                </c:pt>
                <c:pt idx="20">
                  <c:v>29</c:v>
                </c:pt>
                <c:pt idx="21">
                  <c:v>74</c:v>
                </c:pt>
                <c:pt idx="22">
                  <c:v>39</c:v>
                </c:pt>
                <c:pt idx="23">
                  <c:v>119</c:v>
                </c:pt>
                <c:pt idx="24">
                  <c:v>72</c:v>
                </c:pt>
                <c:pt idx="25">
                  <c:v>22</c:v>
                </c:pt>
                <c:pt idx="26">
                  <c:v>54</c:v>
                </c:pt>
                <c:pt idx="27">
                  <c:v>105</c:v>
                </c:pt>
                <c:pt idx="28">
                  <c:v>64</c:v>
                </c:pt>
                <c:pt idx="29">
                  <c:v>27</c:v>
                </c:pt>
                <c:pt idx="30">
                  <c:v>84</c:v>
                </c:pt>
                <c:pt idx="31">
                  <c:v>26</c:v>
                </c:pt>
                <c:pt idx="32">
                  <c:v>6</c:v>
                </c:pt>
                <c:pt idx="33">
                  <c:v>38</c:v>
                </c:pt>
                <c:pt idx="34">
                  <c:v>70</c:v>
                </c:pt>
                <c:pt idx="35">
                  <c:v>98</c:v>
                </c:pt>
                <c:pt idx="36">
                  <c:v>56</c:v>
                </c:pt>
                <c:pt idx="37">
                  <c:v>77</c:v>
                </c:pt>
                <c:pt idx="38">
                  <c:v>37</c:v>
                </c:pt>
                <c:pt idx="39">
                  <c:v>110</c:v>
                </c:pt>
                <c:pt idx="40">
                  <c:v>19</c:v>
                </c:pt>
                <c:pt idx="41">
                  <c:v>91</c:v>
                </c:pt>
                <c:pt idx="42">
                  <c:v>113</c:v>
                </c:pt>
                <c:pt idx="43">
                  <c:v>25</c:v>
                </c:pt>
                <c:pt idx="44">
                  <c:v>126</c:v>
                </c:pt>
                <c:pt idx="45">
                  <c:v>114</c:v>
                </c:pt>
                <c:pt idx="46">
                  <c:v>108</c:v>
                </c:pt>
                <c:pt idx="47">
                  <c:v>15</c:v>
                </c:pt>
                <c:pt idx="48">
                  <c:v>28</c:v>
                </c:pt>
                <c:pt idx="49">
                  <c:v>20</c:v>
                </c:pt>
                <c:pt idx="50">
                  <c:v>35</c:v>
                </c:pt>
                <c:pt idx="51">
                  <c:v>17</c:v>
                </c:pt>
                <c:pt idx="52">
                  <c:v>109</c:v>
                </c:pt>
                <c:pt idx="53">
                  <c:v>48</c:v>
                </c:pt>
                <c:pt idx="54">
                  <c:v>92</c:v>
                </c:pt>
                <c:pt idx="55">
                  <c:v>52</c:v>
                </c:pt>
                <c:pt idx="56">
                  <c:v>122</c:v>
                </c:pt>
                <c:pt idx="57">
                  <c:v>11</c:v>
                </c:pt>
                <c:pt idx="58">
                  <c:v>85</c:v>
                </c:pt>
                <c:pt idx="59">
                  <c:v>4</c:v>
                </c:pt>
                <c:pt idx="60">
                  <c:v>83</c:v>
                </c:pt>
                <c:pt idx="61">
                  <c:v>32</c:v>
                </c:pt>
                <c:pt idx="62">
                  <c:v>123</c:v>
                </c:pt>
                <c:pt idx="63">
                  <c:v>73</c:v>
                </c:pt>
                <c:pt idx="64">
                  <c:v>66</c:v>
                </c:pt>
                <c:pt idx="65">
                  <c:v>101</c:v>
                </c:pt>
                <c:pt idx="66">
                  <c:v>103</c:v>
                </c:pt>
                <c:pt idx="67">
                  <c:v>7</c:v>
                </c:pt>
                <c:pt idx="68">
                  <c:v>87</c:v>
                </c:pt>
                <c:pt idx="69">
                  <c:v>65</c:v>
                </c:pt>
                <c:pt idx="70">
                  <c:v>111</c:v>
                </c:pt>
                <c:pt idx="71">
                  <c:v>116</c:v>
                </c:pt>
                <c:pt idx="72">
                  <c:v>3</c:v>
                </c:pt>
                <c:pt idx="73">
                  <c:v>47</c:v>
                </c:pt>
                <c:pt idx="74">
                  <c:v>46</c:v>
                </c:pt>
                <c:pt idx="75">
                  <c:v>34</c:v>
                </c:pt>
                <c:pt idx="76">
                  <c:v>86</c:v>
                </c:pt>
                <c:pt idx="77">
                  <c:v>60</c:v>
                </c:pt>
                <c:pt idx="78">
                  <c:v>13</c:v>
                </c:pt>
                <c:pt idx="79">
                  <c:v>82</c:v>
                </c:pt>
                <c:pt idx="80">
                  <c:v>76</c:v>
                </c:pt>
                <c:pt idx="81">
                  <c:v>100</c:v>
                </c:pt>
                <c:pt idx="82">
                  <c:v>94</c:v>
                </c:pt>
                <c:pt idx="83">
                  <c:v>36</c:v>
                </c:pt>
                <c:pt idx="84">
                  <c:v>115</c:v>
                </c:pt>
                <c:pt idx="85">
                  <c:v>49</c:v>
                </c:pt>
                <c:pt idx="86">
                  <c:v>61</c:v>
                </c:pt>
                <c:pt idx="87">
                  <c:v>71</c:v>
                </c:pt>
                <c:pt idx="88">
                  <c:v>78</c:v>
                </c:pt>
                <c:pt idx="89">
                  <c:v>55</c:v>
                </c:pt>
                <c:pt idx="90">
                  <c:v>121</c:v>
                </c:pt>
                <c:pt idx="91">
                  <c:v>96</c:v>
                </c:pt>
                <c:pt idx="92">
                  <c:v>8</c:v>
                </c:pt>
                <c:pt idx="93">
                  <c:v>1</c:v>
                </c:pt>
                <c:pt idx="94">
                  <c:v>23</c:v>
                </c:pt>
                <c:pt idx="95">
                  <c:v>69</c:v>
                </c:pt>
                <c:pt idx="96">
                  <c:v>63</c:v>
                </c:pt>
                <c:pt idx="97">
                  <c:v>88</c:v>
                </c:pt>
                <c:pt idx="98">
                  <c:v>9</c:v>
                </c:pt>
                <c:pt idx="99">
                  <c:v>93</c:v>
                </c:pt>
                <c:pt idx="100">
                  <c:v>16</c:v>
                </c:pt>
                <c:pt idx="101">
                  <c:v>24</c:v>
                </c:pt>
                <c:pt idx="102">
                  <c:v>44</c:v>
                </c:pt>
                <c:pt idx="103">
                  <c:v>18</c:v>
                </c:pt>
                <c:pt idx="104">
                  <c:v>68</c:v>
                </c:pt>
                <c:pt idx="105">
                  <c:v>2</c:v>
                </c:pt>
                <c:pt idx="106">
                  <c:v>75</c:v>
                </c:pt>
                <c:pt idx="107">
                  <c:v>58</c:v>
                </c:pt>
                <c:pt idx="108">
                  <c:v>30</c:v>
                </c:pt>
                <c:pt idx="109">
                  <c:v>102</c:v>
                </c:pt>
                <c:pt idx="110">
                  <c:v>31</c:v>
                </c:pt>
                <c:pt idx="111">
                  <c:v>97</c:v>
                </c:pt>
                <c:pt idx="112">
                  <c:v>51</c:v>
                </c:pt>
                <c:pt idx="113">
                  <c:v>106</c:v>
                </c:pt>
                <c:pt idx="114">
                  <c:v>89</c:v>
                </c:pt>
                <c:pt idx="115">
                  <c:v>5</c:v>
                </c:pt>
                <c:pt idx="116">
                  <c:v>12</c:v>
                </c:pt>
                <c:pt idx="117">
                  <c:v>117</c:v>
                </c:pt>
                <c:pt idx="118">
                  <c:v>120</c:v>
                </c:pt>
                <c:pt idx="119">
                  <c:v>21</c:v>
                </c:pt>
                <c:pt idx="120">
                  <c:v>125</c:v>
                </c:pt>
                <c:pt idx="121">
                  <c:v>43</c:v>
                </c:pt>
                <c:pt idx="122">
                  <c:v>124</c:v>
                </c:pt>
                <c:pt idx="123">
                  <c:v>57</c:v>
                </c:pt>
                <c:pt idx="124">
                  <c:v>42</c:v>
                </c:pt>
                <c:pt idx="125">
                  <c:v>112</c:v>
                </c:pt>
              </c:numCache>
            </c:numRef>
          </c:cat>
          <c:val>
            <c:numRef>
              <c:f>trust_data_quality!$R$2:$R$127</c:f>
              <c:numCache>
                <c:formatCode>0.00</c:formatCode>
                <c:ptCount val="126"/>
                <c:pt idx="0">
                  <c:v>96.899223327636719</c:v>
                </c:pt>
                <c:pt idx="1">
                  <c:v>92.814369201660156</c:v>
                </c:pt>
                <c:pt idx="2">
                  <c:v>96.153846740722656</c:v>
                </c:pt>
                <c:pt idx="3">
                  <c:v>96.153846740722656</c:v>
                </c:pt>
                <c:pt idx="4">
                  <c:v>79.629631042480469</c:v>
                </c:pt>
                <c:pt idx="5">
                  <c:v>90.530303955078125</c:v>
                </c:pt>
                <c:pt idx="6">
                  <c:v>93.39080810546875</c:v>
                </c:pt>
                <c:pt idx="7">
                  <c:v>93.303573608398438</c:v>
                </c:pt>
                <c:pt idx="8">
                  <c:v>97.959182739257813</c:v>
                </c:pt>
                <c:pt idx="9">
                  <c:v>94.32989501953125</c:v>
                </c:pt>
                <c:pt idx="10">
                  <c:v>97.350990295410156</c:v>
                </c:pt>
                <c:pt idx="11">
                  <c:v>72.59259033203125</c:v>
                </c:pt>
                <c:pt idx="12">
                  <c:v>96.039604187011719</c:v>
                </c:pt>
                <c:pt idx="13">
                  <c:v>98.734176635742188</c:v>
                </c:pt>
                <c:pt idx="14">
                  <c:v>97.540985107421875</c:v>
                </c:pt>
                <c:pt idx="15">
                  <c:v>94.808128356933594</c:v>
                </c:pt>
                <c:pt idx="16">
                  <c:v>92.553192138671875</c:v>
                </c:pt>
                <c:pt idx="17">
                  <c:v>95.270271301269531</c:v>
                </c:pt>
                <c:pt idx="18">
                  <c:v>91.825614929199219</c:v>
                </c:pt>
                <c:pt idx="19">
                  <c:v>97.435897827148438</c:v>
                </c:pt>
                <c:pt idx="20">
                  <c:v>89.573463439941406</c:v>
                </c:pt>
                <c:pt idx="21">
                  <c:v>95.575218200683594</c:v>
                </c:pt>
                <c:pt idx="22">
                  <c:v>91.789474487304688</c:v>
                </c:pt>
                <c:pt idx="23">
                  <c:v>98.773002624511719</c:v>
                </c:pt>
                <c:pt idx="24">
                  <c:v>95.497627258300781</c:v>
                </c:pt>
                <c:pt idx="25">
                  <c:v>87.711860656738281</c:v>
                </c:pt>
                <c:pt idx="26">
                  <c:v>93.90863037109375</c:v>
                </c:pt>
                <c:pt idx="27">
                  <c:v>97.8609619140625</c:v>
                </c:pt>
                <c:pt idx="28">
                  <c:v>94.957984924316406</c:v>
                </c:pt>
                <c:pt idx="29">
                  <c:v>88.888885498046875</c:v>
                </c:pt>
                <c:pt idx="30">
                  <c:v>96.551727294921875</c:v>
                </c:pt>
                <c:pt idx="31">
                  <c:v>88.826812744140625</c:v>
                </c:pt>
                <c:pt idx="32">
                  <c:v>60.511363983154297</c:v>
                </c:pt>
                <c:pt idx="33">
                  <c:v>91.726615905761719</c:v>
                </c:pt>
                <c:pt idx="34">
                  <c:v>95.454544067382813</c:v>
                </c:pt>
                <c:pt idx="35">
                  <c:v>97.391304016113281</c:v>
                </c:pt>
                <c:pt idx="36">
                  <c:v>93.96551513671875</c:v>
                </c:pt>
                <c:pt idx="37">
                  <c:v>95.833335876464844</c:v>
                </c:pt>
                <c:pt idx="38">
                  <c:v>91.666664123535156</c:v>
                </c:pt>
                <c:pt idx="39">
                  <c:v>98.190048217773438</c:v>
                </c:pt>
                <c:pt idx="40">
                  <c:v>83.796295166015625</c:v>
                </c:pt>
                <c:pt idx="41">
                  <c:v>97.014923095703125</c:v>
                </c:pt>
                <c:pt idx="42">
                  <c:v>98.290596008300781</c:v>
                </c:pt>
                <c:pt idx="43">
                  <c:v>88.362068176269531</c:v>
                </c:pt>
                <c:pt idx="44">
                  <c:v>99.523056030273438</c:v>
                </c:pt>
                <c:pt idx="45">
                  <c:v>98.449615478515625</c:v>
                </c:pt>
                <c:pt idx="46">
                  <c:v>98</c:v>
                </c:pt>
                <c:pt idx="47">
                  <c:v>80.22283935546875</c:v>
                </c:pt>
                <c:pt idx="48">
                  <c:v>89.447235107421875</c:v>
                </c:pt>
                <c:pt idx="49">
                  <c:v>84.834121704101563</c:v>
                </c:pt>
                <c:pt idx="50">
                  <c:v>91.327430725097656</c:v>
                </c:pt>
                <c:pt idx="51">
                  <c:v>81.578948974609375</c:v>
                </c:pt>
                <c:pt idx="52">
                  <c:v>98.080001831054688</c:v>
                </c:pt>
                <c:pt idx="53">
                  <c:v>93.243240356445313</c:v>
                </c:pt>
                <c:pt idx="54">
                  <c:v>97.038726806640625</c:v>
                </c:pt>
                <c:pt idx="55">
                  <c:v>93.382354736328125</c:v>
                </c:pt>
                <c:pt idx="56">
                  <c:v>98.938995361328125</c:v>
                </c:pt>
                <c:pt idx="57">
                  <c:v>76.450515747070313</c:v>
                </c:pt>
                <c:pt idx="58">
                  <c:v>96.551727294921875</c:v>
                </c:pt>
                <c:pt idx="59">
                  <c:v>51.587303161621094</c:v>
                </c:pt>
                <c:pt idx="60">
                  <c:v>96.503494262695313</c:v>
                </c:pt>
                <c:pt idx="61">
                  <c:v>90.270271301269531</c:v>
                </c:pt>
                <c:pt idx="62">
                  <c:v>99.069770812988281</c:v>
                </c:pt>
                <c:pt idx="63">
                  <c:v>95.548957824707031</c:v>
                </c:pt>
                <c:pt idx="64">
                  <c:v>95.086708068847656</c:v>
                </c:pt>
                <c:pt idx="65">
                  <c:v>97.463768005371094</c:v>
                </c:pt>
                <c:pt idx="66">
                  <c:v>97.493736267089844</c:v>
                </c:pt>
                <c:pt idx="67">
                  <c:v>69.402984619140625</c:v>
                </c:pt>
                <c:pt idx="68">
                  <c:v>96.798027038574219</c:v>
                </c:pt>
                <c:pt idx="69">
                  <c:v>95.043731689453125</c:v>
                </c:pt>
                <c:pt idx="70">
                  <c:v>98.245613098144531</c:v>
                </c:pt>
                <c:pt idx="71">
                  <c:v>98.566307067871094</c:v>
                </c:pt>
                <c:pt idx="72">
                  <c:v>43.205574035644531</c:v>
                </c:pt>
                <c:pt idx="73">
                  <c:v>93.129768371582031</c:v>
                </c:pt>
                <c:pt idx="74">
                  <c:v>93.043479919433594</c:v>
                </c:pt>
                <c:pt idx="75">
                  <c:v>90.995262145996094</c:v>
                </c:pt>
                <c:pt idx="76">
                  <c:v>96.590911865234375</c:v>
                </c:pt>
                <c:pt idx="77">
                  <c:v>94.488189697265625</c:v>
                </c:pt>
                <c:pt idx="78">
                  <c:v>79.342720031738281</c:v>
                </c:pt>
                <c:pt idx="79">
                  <c:v>96.385543823242188</c:v>
                </c:pt>
                <c:pt idx="80">
                  <c:v>95.634918212890625</c:v>
                </c:pt>
                <c:pt idx="81">
                  <c:v>97.457626342773438</c:v>
                </c:pt>
                <c:pt idx="82">
                  <c:v>97.333335876464844</c:v>
                </c:pt>
                <c:pt idx="83">
                  <c:v>91.612899780273438</c:v>
                </c:pt>
                <c:pt idx="84">
                  <c:v>98.491378784179688</c:v>
                </c:pt>
                <c:pt idx="85">
                  <c:v>93.258430480957031</c:v>
                </c:pt>
                <c:pt idx="86">
                  <c:v>94.630874633789063</c:v>
                </c:pt>
                <c:pt idx="87">
                  <c:v>95.475112915039063</c:v>
                </c:pt>
                <c:pt idx="88">
                  <c:v>95.973152160644531</c:v>
                </c:pt>
                <c:pt idx="89">
                  <c:v>93.93939208984375</c:v>
                </c:pt>
                <c:pt idx="90">
                  <c:v>98.913040161132813</c:v>
                </c:pt>
                <c:pt idx="91">
                  <c:v>97.368423461914063</c:v>
                </c:pt>
                <c:pt idx="92">
                  <c:v>70.175437927246094</c:v>
                </c:pt>
                <c:pt idx="93">
                  <c:v>3.846153736114502</c:v>
                </c:pt>
                <c:pt idx="94">
                  <c:v>88.268157958984375</c:v>
                </c:pt>
                <c:pt idx="95">
                  <c:v>95.327102661132813</c:v>
                </c:pt>
                <c:pt idx="96">
                  <c:v>94.808746337890625</c:v>
                </c:pt>
                <c:pt idx="97">
                  <c:v>96.835441589355469</c:v>
                </c:pt>
                <c:pt idx="98">
                  <c:v>70.895523071289063</c:v>
                </c:pt>
                <c:pt idx="99">
                  <c:v>97.282608032226563</c:v>
                </c:pt>
                <c:pt idx="100">
                  <c:v>81.25</c:v>
                </c:pt>
                <c:pt idx="101">
                  <c:v>88.353416442871094</c:v>
                </c:pt>
                <c:pt idx="102">
                  <c:v>92.771087646484375</c:v>
                </c:pt>
                <c:pt idx="103">
                  <c:v>83.5616455078125</c:v>
                </c:pt>
                <c:pt idx="104">
                  <c:v>95.308639526367188</c:v>
                </c:pt>
                <c:pt idx="105">
                  <c:v>21.538461685180664</c:v>
                </c:pt>
                <c:pt idx="106">
                  <c:v>95.623634338378906</c:v>
                </c:pt>
                <c:pt idx="107">
                  <c:v>94.274810791015625</c:v>
                </c:pt>
                <c:pt idx="108">
                  <c:v>89.910980224609375</c:v>
                </c:pt>
                <c:pt idx="109">
                  <c:v>97.486030578613281</c:v>
                </c:pt>
                <c:pt idx="110">
                  <c:v>90.178573608398438</c:v>
                </c:pt>
                <c:pt idx="111">
                  <c:v>97.389030456542969</c:v>
                </c:pt>
                <c:pt idx="112">
                  <c:v>93.366500854492188</c:v>
                </c:pt>
                <c:pt idx="113">
                  <c:v>97.933883666992188</c:v>
                </c:pt>
                <c:pt idx="114">
                  <c:v>96.850395202636719</c:v>
                </c:pt>
                <c:pt idx="115">
                  <c:v>59.450172424316406</c:v>
                </c:pt>
                <c:pt idx="116">
                  <c:v>77.857139587402344</c:v>
                </c:pt>
                <c:pt idx="117">
                  <c:v>98.648651123046875</c:v>
                </c:pt>
                <c:pt idx="118">
                  <c:v>98.837211608886719</c:v>
                </c:pt>
                <c:pt idx="119">
                  <c:v>87.037040710449219</c:v>
                </c:pt>
                <c:pt idx="120">
                  <c:v>99.285713195800781</c:v>
                </c:pt>
                <c:pt idx="121">
                  <c:v>92.727272033691406</c:v>
                </c:pt>
                <c:pt idx="122">
                  <c:v>99.159660339355469</c:v>
                </c:pt>
                <c:pt idx="123">
                  <c:v>94.117645263671875</c:v>
                </c:pt>
                <c:pt idx="124">
                  <c:v>92.553192138671875</c:v>
                </c:pt>
                <c:pt idx="125">
                  <c:v>98.285713195800781</c:v>
                </c:pt>
              </c:numCache>
            </c:numRef>
          </c:val>
          <c:extLst>
            <c:ext xmlns:c16="http://schemas.microsoft.com/office/drawing/2014/chart" uri="{C3380CC4-5D6E-409C-BE32-E72D297353CC}">
              <c16:uniqueId val="{00000000-4A59-4B9C-B679-6F4EB6A6ED53}"/>
            </c:ext>
          </c:extLst>
        </c:ser>
        <c:dLbls>
          <c:showLegendKey val="0"/>
          <c:showVal val="0"/>
          <c:showCatName val="0"/>
          <c:showSerName val="0"/>
          <c:showPercent val="0"/>
          <c:showBubbleSize val="0"/>
        </c:dLbls>
        <c:axId val="1687825856"/>
        <c:axId val="1717320176"/>
      </c:areaChart>
      <c:scatterChart>
        <c:scatterStyle val="lineMarker"/>
        <c:varyColors val="0"/>
        <c:ser>
          <c:idx val="2"/>
          <c:order val="1"/>
          <c:tx>
            <c:strRef>
              <c:f>Links!$B$12</c:f>
              <c:strCache>
                <c:ptCount val="1"/>
                <c:pt idx="0">
                  <c:v>Airedale NHS Foundation Trust</c:v>
                </c:pt>
              </c:strCache>
            </c:strRef>
          </c:tx>
          <c:spPr>
            <a:ln w="28575" cap="rnd">
              <a:solidFill>
                <a:schemeClr val="accent2"/>
              </a:solidFill>
              <a:round/>
            </a:ln>
            <a:effectLst/>
          </c:spPr>
          <c:marker>
            <c:symbol val="none"/>
          </c:marker>
          <c:xVal>
            <c:numRef>
              <c:f>Links!$C$28:$C$29</c:f>
              <c:numCache>
                <c:formatCode>0</c:formatCode>
                <c:ptCount val="2"/>
                <c:pt idx="0">
                  <c:v>90</c:v>
                </c:pt>
                <c:pt idx="1">
                  <c:v>90</c:v>
                </c:pt>
              </c:numCache>
            </c:numRef>
          </c:xVal>
          <c:yVal>
            <c:numRef>
              <c:f>Links!$D$28:$D$29</c:f>
              <c:numCache>
                <c:formatCode>General</c:formatCode>
                <c:ptCount val="2"/>
                <c:pt idx="0" formatCode="0.00">
                  <c:v>96.899223327636719</c:v>
                </c:pt>
                <c:pt idx="1">
                  <c:v>0</c:v>
                </c:pt>
              </c:numCache>
            </c:numRef>
          </c:yVal>
          <c:smooth val="0"/>
          <c:extLst>
            <c:ext xmlns:c16="http://schemas.microsoft.com/office/drawing/2014/chart" uri="{C3380CC4-5D6E-409C-BE32-E72D297353CC}">
              <c16:uniqueId val="{00000001-4A59-4B9C-B679-6F4EB6A6ED53}"/>
            </c:ext>
          </c:extLst>
        </c:ser>
        <c:ser>
          <c:idx val="1"/>
          <c:order val="2"/>
          <c:tx>
            <c:v>Target</c:v>
          </c:tx>
          <c:spPr>
            <a:ln w="28575" cap="rnd">
              <a:solidFill>
                <a:schemeClr val="tx1"/>
              </a:solidFill>
              <a:prstDash val="sysDash"/>
              <a:round/>
            </a:ln>
            <a:effectLst/>
          </c:spPr>
          <c:marker>
            <c:symbol val="none"/>
          </c:marker>
          <c:xVal>
            <c:numRef>
              <c:f>Links!$E$28:$E$29</c:f>
              <c:numCache>
                <c:formatCode>General</c:formatCode>
                <c:ptCount val="2"/>
                <c:pt idx="0">
                  <c:v>0</c:v>
                </c:pt>
                <c:pt idx="1">
                  <c:v>126</c:v>
                </c:pt>
              </c:numCache>
            </c:numRef>
          </c:xVal>
          <c:yVal>
            <c:numRef>
              <c:f>Links!$F$28:$F$29</c:f>
              <c:numCache>
                <c:formatCode>General</c:formatCode>
                <c:ptCount val="2"/>
                <c:pt idx="0">
                  <c:v>90</c:v>
                </c:pt>
                <c:pt idx="1">
                  <c:v>90</c:v>
                </c:pt>
              </c:numCache>
            </c:numRef>
          </c:yVal>
          <c:smooth val="0"/>
          <c:extLst>
            <c:ext xmlns:c16="http://schemas.microsoft.com/office/drawing/2014/chart" uri="{C3380CC4-5D6E-409C-BE32-E72D297353CC}">
              <c16:uniqueId val="{00000003-6FA1-4DEC-B891-E8125933D1C8}"/>
            </c:ext>
          </c:extLst>
        </c:ser>
        <c:dLbls>
          <c:showLegendKey val="0"/>
          <c:showVal val="0"/>
          <c:showCatName val="0"/>
          <c:showSerName val="0"/>
          <c:showPercent val="0"/>
          <c:showBubbleSize val="0"/>
        </c:dLbls>
        <c:axId val="1687825856"/>
        <c:axId val="1717320176"/>
      </c:scatterChart>
      <c:dateAx>
        <c:axId val="1687825856"/>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NHS trust rank</a:t>
                </a:r>
                <a:r>
                  <a:rPr lang="en-GB" baseline="0"/>
                  <a:t> order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717320176"/>
        <c:crosses val="autoZero"/>
        <c:auto val="0"/>
        <c:lblOffset val="100"/>
        <c:baseTimeUnit val="days"/>
        <c:majorUnit val="10"/>
        <c:majorTimeUnit val="days"/>
      </c:dateAx>
      <c:valAx>
        <c:axId val="1717320176"/>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Links!$B$17</c:f>
              <c:strCache>
                <c:ptCount val="1"/>
                <c:pt idx="0">
                  <c:v>Data completeness for Basis of Diagnosis</c:v>
                </c:pt>
              </c:strCache>
            </c:strRef>
          </c:tx>
          <c:layout>
            <c:manualLayout>
              <c:xMode val="edge"/>
              <c:yMode val="edge"/>
              <c:x val="3.6006537364450336E-2"/>
              <c:y val="0.10519259291450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7825856"/>
        <c:crossesAt val="1"/>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All NHS Trusts</c:v>
          </c:tx>
          <c:spPr>
            <a:ln w="19050" cap="rnd">
              <a:noFill/>
              <a:round/>
            </a:ln>
            <a:effectLst/>
          </c:spPr>
          <c:marker>
            <c:symbol val="circle"/>
            <c:size val="5"/>
            <c:spPr>
              <a:solidFill>
                <a:schemeClr val="accent1"/>
              </a:solidFill>
              <a:ln w="9525">
                <a:solidFill>
                  <a:schemeClr val="accent1"/>
                </a:solidFill>
              </a:ln>
              <a:effectLst/>
            </c:spPr>
          </c:marker>
          <c:xVal>
            <c:numRef>
              <c:f>trust_indicator_data!$BH$2:$BH$127</c:f>
              <c:numCache>
                <c:formatCode>General</c:formatCode>
                <c:ptCount val="126"/>
                <c:pt idx="0">
                  <c:v>26</c:v>
                </c:pt>
                <c:pt idx="1">
                  <c:v>48</c:v>
                </c:pt>
                <c:pt idx="2">
                  <c:v>57</c:v>
                </c:pt>
                <c:pt idx="3">
                  <c:v>83</c:v>
                </c:pt>
                <c:pt idx="4">
                  <c:v>89</c:v>
                </c:pt>
                <c:pt idx="5">
                  <c:v>94</c:v>
                </c:pt>
                <c:pt idx="6">
                  <c:v>94</c:v>
                </c:pt>
                <c:pt idx="7">
                  <c:v>99</c:v>
                </c:pt>
                <c:pt idx="8">
                  <c:v>107</c:v>
                </c:pt>
                <c:pt idx="9">
                  <c:v>108</c:v>
                </c:pt>
                <c:pt idx="10">
                  <c:v>108</c:v>
                </c:pt>
                <c:pt idx="11">
                  <c:v>113</c:v>
                </c:pt>
                <c:pt idx="12">
                  <c:v>115</c:v>
                </c:pt>
                <c:pt idx="13">
                  <c:v>115</c:v>
                </c:pt>
                <c:pt idx="14">
                  <c:v>117</c:v>
                </c:pt>
                <c:pt idx="15">
                  <c:v>119</c:v>
                </c:pt>
                <c:pt idx="16">
                  <c:v>122</c:v>
                </c:pt>
                <c:pt idx="17">
                  <c:v>126</c:v>
                </c:pt>
                <c:pt idx="18">
                  <c:v>127</c:v>
                </c:pt>
                <c:pt idx="19">
                  <c:v>129</c:v>
                </c:pt>
                <c:pt idx="20">
                  <c:v>132</c:v>
                </c:pt>
                <c:pt idx="21">
                  <c:v>134</c:v>
                </c:pt>
                <c:pt idx="22">
                  <c:v>135</c:v>
                </c:pt>
                <c:pt idx="23">
                  <c:v>136</c:v>
                </c:pt>
                <c:pt idx="24">
                  <c:v>140</c:v>
                </c:pt>
                <c:pt idx="25">
                  <c:v>148</c:v>
                </c:pt>
                <c:pt idx="26">
                  <c:v>148</c:v>
                </c:pt>
                <c:pt idx="27">
                  <c:v>149</c:v>
                </c:pt>
                <c:pt idx="28">
                  <c:v>156</c:v>
                </c:pt>
                <c:pt idx="29">
                  <c:v>158</c:v>
                </c:pt>
                <c:pt idx="30">
                  <c:v>167</c:v>
                </c:pt>
                <c:pt idx="31">
                  <c:v>172</c:v>
                </c:pt>
                <c:pt idx="32">
                  <c:v>179</c:v>
                </c:pt>
                <c:pt idx="33">
                  <c:v>179</c:v>
                </c:pt>
                <c:pt idx="34">
                  <c:v>184</c:v>
                </c:pt>
                <c:pt idx="35">
                  <c:v>184</c:v>
                </c:pt>
                <c:pt idx="36">
                  <c:v>185</c:v>
                </c:pt>
                <c:pt idx="37">
                  <c:v>190</c:v>
                </c:pt>
                <c:pt idx="38">
                  <c:v>194</c:v>
                </c:pt>
                <c:pt idx="39">
                  <c:v>195</c:v>
                </c:pt>
                <c:pt idx="40">
                  <c:v>197</c:v>
                </c:pt>
                <c:pt idx="41">
                  <c:v>198</c:v>
                </c:pt>
                <c:pt idx="42">
                  <c:v>199</c:v>
                </c:pt>
                <c:pt idx="43">
                  <c:v>202</c:v>
                </c:pt>
                <c:pt idx="44">
                  <c:v>208</c:v>
                </c:pt>
                <c:pt idx="45">
                  <c:v>211</c:v>
                </c:pt>
                <c:pt idx="46">
                  <c:v>211</c:v>
                </c:pt>
                <c:pt idx="47">
                  <c:v>211</c:v>
                </c:pt>
                <c:pt idx="48">
                  <c:v>213</c:v>
                </c:pt>
                <c:pt idx="49">
                  <c:v>215</c:v>
                </c:pt>
                <c:pt idx="50">
                  <c:v>216</c:v>
                </c:pt>
                <c:pt idx="51">
                  <c:v>219</c:v>
                </c:pt>
                <c:pt idx="52">
                  <c:v>221</c:v>
                </c:pt>
                <c:pt idx="53">
                  <c:v>221</c:v>
                </c:pt>
                <c:pt idx="54">
                  <c:v>222</c:v>
                </c:pt>
                <c:pt idx="55">
                  <c:v>224</c:v>
                </c:pt>
                <c:pt idx="56">
                  <c:v>225</c:v>
                </c:pt>
                <c:pt idx="57">
                  <c:v>228</c:v>
                </c:pt>
                <c:pt idx="58">
                  <c:v>232</c:v>
                </c:pt>
                <c:pt idx="59">
                  <c:v>232</c:v>
                </c:pt>
                <c:pt idx="60">
                  <c:v>236</c:v>
                </c:pt>
                <c:pt idx="61">
                  <c:v>236</c:v>
                </c:pt>
                <c:pt idx="62">
                  <c:v>237</c:v>
                </c:pt>
                <c:pt idx="63">
                  <c:v>238</c:v>
                </c:pt>
                <c:pt idx="64">
                  <c:v>238</c:v>
                </c:pt>
                <c:pt idx="65">
                  <c:v>242</c:v>
                </c:pt>
                <c:pt idx="66">
                  <c:v>245</c:v>
                </c:pt>
                <c:pt idx="67">
                  <c:v>249</c:v>
                </c:pt>
                <c:pt idx="68">
                  <c:v>252</c:v>
                </c:pt>
                <c:pt idx="69">
                  <c:v>258</c:v>
                </c:pt>
                <c:pt idx="70">
                  <c:v>260</c:v>
                </c:pt>
                <c:pt idx="71">
                  <c:v>261</c:v>
                </c:pt>
                <c:pt idx="72">
                  <c:v>262</c:v>
                </c:pt>
                <c:pt idx="73">
                  <c:v>264</c:v>
                </c:pt>
                <c:pt idx="74">
                  <c:v>264</c:v>
                </c:pt>
                <c:pt idx="75">
                  <c:v>266</c:v>
                </c:pt>
                <c:pt idx="76">
                  <c:v>268</c:v>
                </c:pt>
                <c:pt idx="77">
                  <c:v>275</c:v>
                </c:pt>
                <c:pt idx="78">
                  <c:v>278</c:v>
                </c:pt>
                <c:pt idx="79">
                  <c:v>279</c:v>
                </c:pt>
                <c:pt idx="80">
                  <c:v>280</c:v>
                </c:pt>
                <c:pt idx="81">
                  <c:v>286</c:v>
                </c:pt>
                <c:pt idx="82">
                  <c:v>287</c:v>
                </c:pt>
                <c:pt idx="83">
                  <c:v>293</c:v>
                </c:pt>
                <c:pt idx="84">
                  <c:v>298</c:v>
                </c:pt>
                <c:pt idx="85">
                  <c:v>302</c:v>
                </c:pt>
                <c:pt idx="86">
                  <c:v>310</c:v>
                </c:pt>
                <c:pt idx="87">
                  <c:v>326</c:v>
                </c:pt>
                <c:pt idx="88">
                  <c:v>335</c:v>
                </c:pt>
                <c:pt idx="89">
                  <c:v>336</c:v>
                </c:pt>
                <c:pt idx="90">
                  <c:v>337</c:v>
                </c:pt>
                <c:pt idx="91">
                  <c:v>337</c:v>
                </c:pt>
                <c:pt idx="92">
                  <c:v>343</c:v>
                </c:pt>
                <c:pt idx="93">
                  <c:v>346</c:v>
                </c:pt>
                <c:pt idx="94">
                  <c:v>348</c:v>
                </c:pt>
                <c:pt idx="95">
                  <c:v>350</c:v>
                </c:pt>
                <c:pt idx="96">
                  <c:v>350</c:v>
                </c:pt>
                <c:pt idx="97">
                  <c:v>352</c:v>
                </c:pt>
                <c:pt idx="98">
                  <c:v>358</c:v>
                </c:pt>
                <c:pt idx="99">
                  <c:v>359</c:v>
                </c:pt>
                <c:pt idx="100">
                  <c:v>366</c:v>
                </c:pt>
                <c:pt idx="101">
                  <c:v>367</c:v>
                </c:pt>
                <c:pt idx="102">
                  <c:v>374</c:v>
                </c:pt>
                <c:pt idx="103">
                  <c:v>377</c:v>
                </c:pt>
                <c:pt idx="104">
                  <c:v>383</c:v>
                </c:pt>
                <c:pt idx="105">
                  <c:v>399</c:v>
                </c:pt>
                <c:pt idx="106">
                  <c:v>405</c:v>
                </c:pt>
                <c:pt idx="107">
                  <c:v>406</c:v>
                </c:pt>
                <c:pt idx="108">
                  <c:v>415</c:v>
                </c:pt>
                <c:pt idx="109">
                  <c:v>422</c:v>
                </c:pt>
                <c:pt idx="110">
                  <c:v>432</c:v>
                </c:pt>
                <c:pt idx="111">
                  <c:v>439</c:v>
                </c:pt>
                <c:pt idx="112">
                  <c:v>443</c:v>
                </c:pt>
                <c:pt idx="113">
                  <c:v>457</c:v>
                </c:pt>
                <c:pt idx="114">
                  <c:v>464</c:v>
                </c:pt>
                <c:pt idx="115">
                  <c:v>464</c:v>
                </c:pt>
                <c:pt idx="116">
                  <c:v>475</c:v>
                </c:pt>
                <c:pt idx="117">
                  <c:v>508</c:v>
                </c:pt>
                <c:pt idx="118">
                  <c:v>552</c:v>
                </c:pt>
                <c:pt idx="119">
                  <c:v>565</c:v>
                </c:pt>
                <c:pt idx="120">
                  <c:v>582</c:v>
                </c:pt>
                <c:pt idx="121">
                  <c:v>603</c:v>
                </c:pt>
                <c:pt idx="122">
                  <c:v>625</c:v>
                </c:pt>
                <c:pt idx="123">
                  <c:v>629</c:v>
                </c:pt>
                <c:pt idx="124">
                  <c:v>786</c:v>
                </c:pt>
                <c:pt idx="125">
                  <c:v>792</c:v>
                </c:pt>
              </c:numCache>
            </c:numRef>
          </c:xVal>
          <c:yVal>
            <c:numRef>
              <c:f>trust_indicator_data!$BI$2:$BI$127</c:f>
              <c:numCache>
                <c:formatCode>0%</c:formatCode>
                <c:ptCount val="126"/>
                <c:pt idx="0">
                  <c:v>0</c:v>
                </c:pt>
                <c:pt idx="1">
                  <c:v>0.51282051086425784</c:v>
                </c:pt>
                <c:pt idx="2">
                  <c:v>0.28571428298950197</c:v>
                </c:pt>
                <c:pt idx="3">
                  <c:v>0.50617282867431646</c:v>
                </c:pt>
                <c:pt idx="4">
                  <c:v>0.57333332061767583</c:v>
                </c:pt>
                <c:pt idx="5">
                  <c:v>0.63218391418457032</c:v>
                </c:pt>
                <c:pt idx="6">
                  <c:v>0.54347827911376956</c:v>
                </c:pt>
                <c:pt idx="7">
                  <c:v>0.71264366149902347</c:v>
                </c:pt>
                <c:pt idx="8">
                  <c:v>0.62244899749755855</c:v>
                </c:pt>
                <c:pt idx="9">
                  <c:v>0.53684211730957032</c:v>
                </c:pt>
                <c:pt idx="10">
                  <c:v>0.63333332061767578</c:v>
                </c:pt>
                <c:pt idx="11">
                  <c:v>0.47272727966308592</c:v>
                </c:pt>
                <c:pt idx="12">
                  <c:v>0.39795917510986328</c:v>
                </c:pt>
                <c:pt idx="13">
                  <c:v>0.54368930816650396</c:v>
                </c:pt>
                <c:pt idx="14">
                  <c:v>0.52293579101562504</c:v>
                </c:pt>
                <c:pt idx="15">
                  <c:v>0.6036035919189453</c:v>
                </c:pt>
                <c:pt idx="16">
                  <c:v>0.42016807556152341</c:v>
                </c:pt>
                <c:pt idx="17">
                  <c:v>0.48148147583007811</c:v>
                </c:pt>
                <c:pt idx="18">
                  <c:v>0.49579830169677735</c:v>
                </c:pt>
                <c:pt idx="19">
                  <c:v>0.46774192810058596</c:v>
                </c:pt>
                <c:pt idx="20">
                  <c:v>0.62962963104248049</c:v>
                </c:pt>
                <c:pt idx="21">
                  <c:v>0.57798164367675786</c:v>
                </c:pt>
                <c:pt idx="22">
                  <c:v>0.79381446838378911</c:v>
                </c:pt>
                <c:pt idx="23">
                  <c:v>0.58715595245361329</c:v>
                </c:pt>
                <c:pt idx="24">
                  <c:v>0.58400001525878908</c:v>
                </c:pt>
                <c:pt idx="25">
                  <c:v>0.48333332061767575</c:v>
                </c:pt>
                <c:pt idx="26">
                  <c:v>0.39416057586669923</c:v>
                </c:pt>
                <c:pt idx="27">
                  <c:v>0.55882354736328121</c:v>
                </c:pt>
                <c:pt idx="28">
                  <c:v>0.48993289947509766</c:v>
                </c:pt>
                <c:pt idx="29">
                  <c:v>0.59821430206298831</c:v>
                </c:pt>
                <c:pt idx="30">
                  <c:v>0.51851852416992184</c:v>
                </c:pt>
                <c:pt idx="31">
                  <c:v>0.57575756072998052</c:v>
                </c:pt>
                <c:pt idx="32">
                  <c:v>0.49358974456787108</c:v>
                </c:pt>
                <c:pt idx="33">
                  <c:v>0.50735294342041015</c:v>
                </c:pt>
                <c:pt idx="34">
                  <c:v>0.42857143402099607</c:v>
                </c:pt>
                <c:pt idx="35">
                  <c:v>0.41714286804199219</c:v>
                </c:pt>
                <c:pt idx="36">
                  <c:v>0.54605262756347661</c:v>
                </c:pt>
                <c:pt idx="37">
                  <c:v>0.45624999999999999</c:v>
                </c:pt>
                <c:pt idx="38">
                  <c:v>0.53658535003662111</c:v>
                </c:pt>
                <c:pt idx="39">
                  <c:v>0.39814815521240232</c:v>
                </c:pt>
                <c:pt idx="40">
                  <c:v>0.50549449920654299</c:v>
                </c:pt>
                <c:pt idx="41">
                  <c:v>0.46192893981933592</c:v>
                </c:pt>
                <c:pt idx="42">
                  <c:v>0.53571430206298831</c:v>
                </c:pt>
                <c:pt idx="43">
                  <c:v>0.46596858978271483</c:v>
                </c:pt>
                <c:pt idx="44">
                  <c:v>0.58208953857421875</c:v>
                </c:pt>
                <c:pt idx="45">
                  <c:v>0.50931678771972655</c:v>
                </c:pt>
                <c:pt idx="46">
                  <c:v>0.4339622497558594</c:v>
                </c:pt>
                <c:pt idx="47">
                  <c:v>0.54594593048095708</c:v>
                </c:pt>
                <c:pt idx="48">
                  <c:v>0.53793102264404302</c:v>
                </c:pt>
                <c:pt idx="49">
                  <c:v>0.5235848999023438</c:v>
                </c:pt>
                <c:pt idx="50">
                  <c:v>0.4683544158935547</c:v>
                </c:pt>
                <c:pt idx="51">
                  <c:v>0.45026176452636718</c:v>
                </c:pt>
                <c:pt idx="52">
                  <c:v>0.47441860198974611</c:v>
                </c:pt>
                <c:pt idx="53">
                  <c:v>0.33908046722412111</c:v>
                </c:pt>
                <c:pt idx="54">
                  <c:v>0.45754718780517578</c:v>
                </c:pt>
                <c:pt idx="55">
                  <c:v>0.44444442749023438</c:v>
                </c:pt>
                <c:pt idx="56">
                  <c:v>0.51834861755371098</c:v>
                </c:pt>
                <c:pt idx="57">
                  <c:v>0.52606636047363287</c:v>
                </c:pt>
                <c:pt idx="58">
                  <c:v>0.45238094329833983</c:v>
                </c:pt>
                <c:pt idx="59">
                  <c:v>0.58851673126220705</c:v>
                </c:pt>
                <c:pt idx="60">
                  <c:v>0.54871795654296873</c:v>
                </c:pt>
                <c:pt idx="61">
                  <c:v>0.49029125213623048</c:v>
                </c:pt>
                <c:pt idx="62">
                  <c:v>0.49361701965332033</c:v>
                </c:pt>
                <c:pt idx="63">
                  <c:v>0.41747573852539061</c:v>
                </c:pt>
                <c:pt idx="64">
                  <c:v>0.50869564056396488</c:v>
                </c:pt>
                <c:pt idx="65">
                  <c:v>0.54424777984619144</c:v>
                </c:pt>
                <c:pt idx="66">
                  <c:v>0.50643775939941404</c:v>
                </c:pt>
                <c:pt idx="67">
                  <c:v>0.52153110504150391</c:v>
                </c:pt>
                <c:pt idx="68">
                  <c:v>0.58536586761474607</c:v>
                </c:pt>
                <c:pt idx="69">
                  <c:v>0.5230125427246094</c:v>
                </c:pt>
                <c:pt idx="70">
                  <c:v>0.58547008514404297</c:v>
                </c:pt>
                <c:pt idx="71">
                  <c:v>0.53386455535888677</c:v>
                </c:pt>
                <c:pt idx="72">
                  <c:v>0.47346939086914064</c:v>
                </c:pt>
                <c:pt idx="73">
                  <c:v>0.46351932525634765</c:v>
                </c:pt>
                <c:pt idx="74">
                  <c:v>0.43032787322998045</c:v>
                </c:pt>
                <c:pt idx="75">
                  <c:v>0.49065422058105468</c:v>
                </c:pt>
                <c:pt idx="76">
                  <c:v>0.2994923782348633</c:v>
                </c:pt>
                <c:pt idx="77">
                  <c:v>0.61660079956054692</c:v>
                </c:pt>
                <c:pt idx="78">
                  <c:v>0.42528736114501953</c:v>
                </c:pt>
                <c:pt idx="79">
                  <c:v>0.55185184478759763</c:v>
                </c:pt>
                <c:pt idx="80">
                  <c:v>0.44890510559082031</c:v>
                </c:pt>
                <c:pt idx="81">
                  <c:v>0.52346569061279302</c:v>
                </c:pt>
                <c:pt idx="82">
                  <c:v>0.40909091949462889</c:v>
                </c:pt>
                <c:pt idx="83">
                  <c:v>0.53278690338134771</c:v>
                </c:pt>
                <c:pt idx="84">
                  <c:v>0.54035087585449215</c:v>
                </c:pt>
                <c:pt idx="85">
                  <c:v>0.51398601531982424</c:v>
                </c:pt>
                <c:pt idx="86">
                  <c:v>0.42735042572021487</c:v>
                </c:pt>
                <c:pt idx="87">
                  <c:v>0.4952381134033203</c:v>
                </c:pt>
                <c:pt idx="88">
                  <c:v>0.53003532409667964</c:v>
                </c:pt>
                <c:pt idx="89">
                  <c:v>0.47666667938232421</c:v>
                </c:pt>
                <c:pt idx="90">
                  <c:v>0.50925926208496097</c:v>
                </c:pt>
                <c:pt idx="91">
                  <c:v>0.43650794982910157</c:v>
                </c:pt>
                <c:pt idx="92">
                  <c:v>0.45394737243652344</c:v>
                </c:pt>
                <c:pt idx="93">
                  <c:v>0.5166051483154297</c:v>
                </c:pt>
                <c:pt idx="94">
                  <c:v>0.37269371032714843</c:v>
                </c:pt>
                <c:pt idx="95">
                  <c:v>0.32580646514892581</c:v>
                </c:pt>
                <c:pt idx="96">
                  <c:v>0.49541282653808594</c:v>
                </c:pt>
                <c:pt idx="97">
                  <c:v>0.33750000000000002</c:v>
                </c:pt>
                <c:pt idx="98">
                  <c:v>0.43768115997314455</c:v>
                </c:pt>
                <c:pt idx="99">
                  <c:v>0.48163265228271485</c:v>
                </c:pt>
                <c:pt idx="100">
                  <c:v>0.37878787994384766</c:v>
                </c:pt>
                <c:pt idx="101">
                  <c:v>0.39616615295410157</c:v>
                </c:pt>
                <c:pt idx="102">
                  <c:v>0.48967552185058594</c:v>
                </c:pt>
                <c:pt idx="103">
                  <c:v>0.43888889312744139</c:v>
                </c:pt>
                <c:pt idx="104">
                  <c:v>0.54447441101074223</c:v>
                </c:pt>
                <c:pt idx="105">
                  <c:v>0.40055248260498044</c:v>
                </c:pt>
                <c:pt idx="106">
                  <c:v>0.53658535003662111</c:v>
                </c:pt>
                <c:pt idx="107">
                  <c:v>0.44542774200439456</c:v>
                </c:pt>
                <c:pt idx="108">
                  <c:v>0.48724491119384766</c:v>
                </c:pt>
                <c:pt idx="109">
                  <c:v>0.5568181991577148</c:v>
                </c:pt>
                <c:pt idx="110">
                  <c:v>0.37027706146240236</c:v>
                </c:pt>
                <c:pt idx="111">
                  <c:v>0.50115474700927731</c:v>
                </c:pt>
                <c:pt idx="112">
                  <c:v>0.43735225677490236</c:v>
                </c:pt>
                <c:pt idx="113">
                  <c:v>0.31447963714599608</c:v>
                </c:pt>
                <c:pt idx="114">
                  <c:v>0.37469585418701173</c:v>
                </c:pt>
                <c:pt idx="115">
                  <c:v>0.53652969360351566</c:v>
                </c:pt>
                <c:pt idx="116">
                  <c:v>0.49736843109130857</c:v>
                </c:pt>
                <c:pt idx="117">
                  <c:v>0.42323650360107423</c:v>
                </c:pt>
                <c:pt idx="118">
                  <c:v>0.39307537078857424</c:v>
                </c:pt>
                <c:pt idx="119">
                  <c:v>0.30476190567016603</c:v>
                </c:pt>
                <c:pt idx="120">
                  <c:v>0.48255813598632813</c:v>
                </c:pt>
                <c:pt idx="121">
                  <c:v>0.4969449996948242</c:v>
                </c:pt>
                <c:pt idx="122">
                  <c:v>0.54181182861328125</c:v>
                </c:pt>
                <c:pt idx="123">
                  <c:v>0.35871402740478514</c:v>
                </c:pt>
                <c:pt idx="124">
                  <c:v>0.45906433105468752</c:v>
                </c:pt>
                <c:pt idx="125">
                  <c:v>0.4655172348022461</c:v>
                </c:pt>
              </c:numCache>
            </c:numRef>
          </c:yVal>
          <c:smooth val="0"/>
          <c:extLst>
            <c:ext xmlns:c16="http://schemas.microsoft.com/office/drawing/2014/chart" uri="{C3380CC4-5D6E-409C-BE32-E72D297353CC}">
              <c16:uniqueId val="{00000000-82FB-46A2-AA17-4B19DE652B8C}"/>
            </c:ext>
          </c:extLst>
        </c:ser>
        <c:dLbls>
          <c:showLegendKey val="0"/>
          <c:showVal val="0"/>
          <c:showCatName val="0"/>
          <c:showSerName val="0"/>
          <c:showPercent val="0"/>
          <c:showBubbleSize val="0"/>
        </c:dLbls>
        <c:axId val="1799398432"/>
        <c:axId val="1814066560"/>
      </c:scatterChart>
      <c:scatterChart>
        <c:scatterStyle val="smoothMarker"/>
        <c:varyColors val="0"/>
        <c:ser>
          <c:idx val="4"/>
          <c:order val="1"/>
          <c:tx>
            <c:strRef>
              <c:f>Links!$B$12</c:f>
              <c:strCache>
                <c:ptCount val="1"/>
                <c:pt idx="0">
                  <c:v>Airedale NHS Foundation Trust</c:v>
                </c:pt>
              </c:strCache>
            </c:strRef>
          </c:tx>
          <c:spPr>
            <a:ln w="19050" cap="rnd">
              <a:noFill/>
              <a:round/>
            </a:ln>
            <a:effectLst/>
          </c:spPr>
          <c:marker>
            <c:symbol val="diamond"/>
            <c:size val="8"/>
            <c:spPr>
              <a:solidFill>
                <a:schemeClr val="accent2"/>
              </a:solidFill>
              <a:ln w="9525">
                <a:solidFill>
                  <a:schemeClr val="accent2"/>
                </a:solidFill>
              </a:ln>
              <a:effectLst/>
            </c:spPr>
          </c:marker>
          <c:xVal>
            <c:numRef>
              <c:f>Links!$C$24</c:f>
              <c:numCache>
                <c:formatCode>0</c:formatCode>
                <c:ptCount val="1"/>
                <c:pt idx="0">
                  <c:v>129</c:v>
                </c:pt>
              </c:numCache>
            </c:numRef>
          </c:xVal>
          <c:yVal>
            <c:numRef>
              <c:f>Links!$D$24</c:f>
              <c:numCache>
                <c:formatCode>0.00</c:formatCode>
                <c:ptCount val="1"/>
                <c:pt idx="0">
                  <c:v>0.46774192810058596</c:v>
                </c:pt>
              </c:numCache>
            </c:numRef>
          </c:yVal>
          <c:smooth val="1"/>
          <c:extLst>
            <c:ext xmlns:c16="http://schemas.microsoft.com/office/drawing/2014/chart" uri="{C3380CC4-5D6E-409C-BE32-E72D297353CC}">
              <c16:uniqueId val="{00000004-82FB-46A2-AA17-4B19DE652B8C}"/>
            </c:ext>
          </c:extLst>
        </c:ser>
        <c:ser>
          <c:idx val="3"/>
          <c:order val="2"/>
          <c:tx>
            <c:v>National average</c:v>
          </c:tx>
          <c:spPr>
            <a:ln w="19050" cap="rnd">
              <a:solidFill>
                <a:schemeClr val="tx1"/>
              </a:solidFill>
              <a:round/>
            </a:ln>
            <a:effectLst/>
          </c:spPr>
          <c:marker>
            <c:symbol val="none"/>
          </c:marker>
          <c:xVal>
            <c:numRef>
              <c:f>trust_indicator_data!$BH$2:$BH$127</c:f>
              <c:numCache>
                <c:formatCode>General</c:formatCode>
                <c:ptCount val="126"/>
                <c:pt idx="0">
                  <c:v>26</c:v>
                </c:pt>
                <c:pt idx="1">
                  <c:v>48</c:v>
                </c:pt>
                <c:pt idx="2">
                  <c:v>57</c:v>
                </c:pt>
                <c:pt idx="3">
                  <c:v>83</c:v>
                </c:pt>
                <c:pt idx="4">
                  <c:v>89</c:v>
                </c:pt>
                <c:pt idx="5">
                  <c:v>94</c:v>
                </c:pt>
                <c:pt idx="6">
                  <c:v>94</c:v>
                </c:pt>
                <c:pt idx="7">
                  <c:v>99</c:v>
                </c:pt>
                <c:pt idx="8">
                  <c:v>107</c:v>
                </c:pt>
                <c:pt idx="9">
                  <c:v>108</c:v>
                </c:pt>
                <c:pt idx="10">
                  <c:v>108</c:v>
                </c:pt>
                <c:pt idx="11">
                  <c:v>113</c:v>
                </c:pt>
                <c:pt idx="12">
                  <c:v>115</c:v>
                </c:pt>
                <c:pt idx="13">
                  <c:v>115</c:v>
                </c:pt>
                <c:pt idx="14">
                  <c:v>117</c:v>
                </c:pt>
                <c:pt idx="15">
                  <c:v>119</c:v>
                </c:pt>
                <c:pt idx="16">
                  <c:v>122</c:v>
                </c:pt>
                <c:pt idx="17">
                  <c:v>126</c:v>
                </c:pt>
                <c:pt idx="18">
                  <c:v>127</c:v>
                </c:pt>
                <c:pt idx="19">
                  <c:v>129</c:v>
                </c:pt>
                <c:pt idx="20">
                  <c:v>132</c:v>
                </c:pt>
                <c:pt idx="21">
                  <c:v>134</c:v>
                </c:pt>
                <c:pt idx="22">
                  <c:v>135</c:v>
                </c:pt>
                <c:pt idx="23">
                  <c:v>136</c:v>
                </c:pt>
                <c:pt idx="24">
                  <c:v>140</c:v>
                </c:pt>
                <c:pt idx="25">
                  <c:v>148</c:v>
                </c:pt>
                <c:pt idx="26">
                  <c:v>148</c:v>
                </c:pt>
                <c:pt idx="27">
                  <c:v>149</c:v>
                </c:pt>
                <c:pt idx="28">
                  <c:v>156</c:v>
                </c:pt>
                <c:pt idx="29">
                  <c:v>158</c:v>
                </c:pt>
                <c:pt idx="30">
                  <c:v>167</c:v>
                </c:pt>
                <c:pt idx="31">
                  <c:v>172</c:v>
                </c:pt>
                <c:pt idx="32">
                  <c:v>179</c:v>
                </c:pt>
                <c:pt idx="33">
                  <c:v>179</c:v>
                </c:pt>
                <c:pt idx="34">
                  <c:v>184</c:v>
                </c:pt>
                <c:pt idx="35">
                  <c:v>184</c:v>
                </c:pt>
                <c:pt idx="36">
                  <c:v>185</c:v>
                </c:pt>
                <c:pt idx="37">
                  <c:v>190</c:v>
                </c:pt>
                <c:pt idx="38">
                  <c:v>194</c:v>
                </c:pt>
                <c:pt idx="39">
                  <c:v>195</c:v>
                </c:pt>
                <c:pt idx="40">
                  <c:v>197</c:v>
                </c:pt>
                <c:pt idx="41">
                  <c:v>198</c:v>
                </c:pt>
                <c:pt idx="42">
                  <c:v>199</c:v>
                </c:pt>
                <c:pt idx="43">
                  <c:v>202</c:v>
                </c:pt>
                <c:pt idx="44">
                  <c:v>208</c:v>
                </c:pt>
                <c:pt idx="45">
                  <c:v>211</c:v>
                </c:pt>
                <c:pt idx="46">
                  <c:v>211</c:v>
                </c:pt>
                <c:pt idx="47">
                  <c:v>211</c:v>
                </c:pt>
                <c:pt idx="48">
                  <c:v>213</c:v>
                </c:pt>
                <c:pt idx="49">
                  <c:v>215</c:v>
                </c:pt>
                <c:pt idx="50">
                  <c:v>216</c:v>
                </c:pt>
                <c:pt idx="51">
                  <c:v>219</c:v>
                </c:pt>
                <c:pt idx="52">
                  <c:v>221</c:v>
                </c:pt>
                <c:pt idx="53">
                  <c:v>221</c:v>
                </c:pt>
                <c:pt idx="54">
                  <c:v>222</c:v>
                </c:pt>
                <c:pt idx="55">
                  <c:v>224</c:v>
                </c:pt>
                <c:pt idx="56">
                  <c:v>225</c:v>
                </c:pt>
                <c:pt idx="57">
                  <c:v>228</c:v>
                </c:pt>
                <c:pt idx="58">
                  <c:v>232</c:v>
                </c:pt>
                <c:pt idx="59">
                  <c:v>232</c:v>
                </c:pt>
                <c:pt idx="60">
                  <c:v>236</c:v>
                </c:pt>
                <c:pt idx="61">
                  <c:v>236</c:v>
                </c:pt>
                <c:pt idx="62">
                  <c:v>237</c:v>
                </c:pt>
                <c:pt idx="63">
                  <c:v>238</c:v>
                </c:pt>
                <c:pt idx="64">
                  <c:v>238</c:v>
                </c:pt>
                <c:pt idx="65">
                  <c:v>242</c:v>
                </c:pt>
                <c:pt idx="66">
                  <c:v>245</c:v>
                </c:pt>
                <c:pt idx="67">
                  <c:v>249</c:v>
                </c:pt>
                <c:pt idx="68">
                  <c:v>252</c:v>
                </c:pt>
                <c:pt idx="69">
                  <c:v>258</c:v>
                </c:pt>
                <c:pt idx="70">
                  <c:v>260</c:v>
                </c:pt>
                <c:pt idx="71">
                  <c:v>261</c:v>
                </c:pt>
                <c:pt idx="72">
                  <c:v>262</c:v>
                </c:pt>
                <c:pt idx="73">
                  <c:v>264</c:v>
                </c:pt>
                <c:pt idx="74">
                  <c:v>264</c:v>
                </c:pt>
                <c:pt idx="75">
                  <c:v>266</c:v>
                </c:pt>
                <c:pt idx="76">
                  <c:v>268</c:v>
                </c:pt>
                <c:pt idx="77">
                  <c:v>275</c:v>
                </c:pt>
                <c:pt idx="78">
                  <c:v>278</c:v>
                </c:pt>
                <c:pt idx="79">
                  <c:v>279</c:v>
                </c:pt>
                <c:pt idx="80">
                  <c:v>280</c:v>
                </c:pt>
                <c:pt idx="81">
                  <c:v>286</c:v>
                </c:pt>
                <c:pt idx="82">
                  <c:v>287</c:v>
                </c:pt>
                <c:pt idx="83">
                  <c:v>293</c:v>
                </c:pt>
                <c:pt idx="84">
                  <c:v>298</c:v>
                </c:pt>
                <c:pt idx="85">
                  <c:v>302</c:v>
                </c:pt>
                <c:pt idx="86">
                  <c:v>310</c:v>
                </c:pt>
                <c:pt idx="87">
                  <c:v>326</c:v>
                </c:pt>
                <c:pt idx="88">
                  <c:v>335</c:v>
                </c:pt>
                <c:pt idx="89">
                  <c:v>336</c:v>
                </c:pt>
                <c:pt idx="90">
                  <c:v>337</c:v>
                </c:pt>
                <c:pt idx="91">
                  <c:v>337</c:v>
                </c:pt>
                <c:pt idx="92">
                  <c:v>343</c:v>
                </c:pt>
                <c:pt idx="93">
                  <c:v>346</c:v>
                </c:pt>
                <c:pt idx="94">
                  <c:v>348</c:v>
                </c:pt>
                <c:pt idx="95">
                  <c:v>350</c:v>
                </c:pt>
                <c:pt idx="96">
                  <c:v>350</c:v>
                </c:pt>
                <c:pt idx="97">
                  <c:v>352</c:v>
                </c:pt>
                <c:pt idx="98">
                  <c:v>358</c:v>
                </c:pt>
                <c:pt idx="99">
                  <c:v>359</c:v>
                </c:pt>
                <c:pt idx="100">
                  <c:v>366</c:v>
                </c:pt>
                <c:pt idx="101">
                  <c:v>367</c:v>
                </c:pt>
                <c:pt idx="102">
                  <c:v>374</c:v>
                </c:pt>
                <c:pt idx="103">
                  <c:v>377</c:v>
                </c:pt>
                <c:pt idx="104">
                  <c:v>383</c:v>
                </c:pt>
                <c:pt idx="105">
                  <c:v>399</c:v>
                </c:pt>
                <c:pt idx="106">
                  <c:v>405</c:v>
                </c:pt>
                <c:pt idx="107">
                  <c:v>406</c:v>
                </c:pt>
                <c:pt idx="108">
                  <c:v>415</c:v>
                </c:pt>
                <c:pt idx="109">
                  <c:v>422</c:v>
                </c:pt>
                <c:pt idx="110">
                  <c:v>432</c:v>
                </c:pt>
                <c:pt idx="111">
                  <c:v>439</c:v>
                </c:pt>
                <c:pt idx="112">
                  <c:v>443</c:v>
                </c:pt>
                <c:pt idx="113">
                  <c:v>457</c:v>
                </c:pt>
                <c:pt idx="114">
                  <c:v>464</c:v>
                </c:pt>
                <c:pt idx="115">
                  <c:v>464</c:v>
                </c:pt>
                <c:pt idx="116">
                  <c:v>475</c:v>
                </c:pt>
                <c:pt idx="117">
                  <c:v>508</c:v>
                </c:pt>
                <c:pt idx="118">
                  <c:v>552</c:v>
                </c:pt>
                <c:pt idx="119">
                  <c:v>565</c:v>
                </c:pt>
                <c:pt idx="120">
                  <c:v>582</c:v>
                </c:pt>
                <c:pt idx="121">
                  <c:v>603</c:v>
                </c:pt>
                <c:pt idx="122">
                  <c:v>625</c:v>
                </c:pt>
                <c:pt idx="123">
                  <c:v>629</c:v>
                </c:pt>
                <c:pt idx="124">
                  <c:v>786</c:v>
                </c:pt>
                <c:pt idx="125">
                  <c:v>792</c:v>
                </c:pt>
              </c:numCache>
            </c:numRef>
          </c:xVal>
          <c:yVal>
            <c:numRef>
              <c:f>trust_indicator_data!$BN$2:$BN$127</c:f>
              <c:numCache>
                <c:formatCode>0%</c:formatCode>
                <c:ptCount val="126"/>
                <c:pt idx="0">
                  <c:v>0.47675243377685544</c:v>
                </c:pt>
                <c:pt idx="1">
                  <c:v>0.47675243377685544</c:v>
                </c:pt>
                <c:pt idx="2">
                  <c:v>0.47675243377685544</c:v>
                </c:pt>
                <c:pt idx="3">
                  <c:v>0.47675243377685544</c:v>
                </c:pt>
                <c:pt idx="4">
                  <c:v>0.47675243377685544</c:v>
                </c:pt>
                <c:pt idx="5">
                  <c:v>0.47675243377685544</c:v>
                </c:pt>
                <c:pt idx="6">
                  <c:v>0.47675243377685544</c:v>
                </c:pt>
                <c:pt idx="7">
                  <c:v>0.47675243377685544</c:v>
                </c:pt>
                <c:pt idx="8">
                  <c:v>0.47675243377685544</c:v>
                </c:pt>
                <c:pt idx="9">
                  <c:v>0.47675243377685544</c:v>
                </c:pt>
                <c:pt idx="10">
                  <c:v>0.47675243377685544</c:v>
                </c:pt>
                <c:pt idx="11">
                  <c:v>0.47675243377685544</c:v>
                </c:pt>
                <c:pt idx="12">
                  <c:v>0.47675243377685544</c:v>
                </c:pt>
                <c:pt idx="13">
                  <c:v>0.47675243377685544</c:v>
                </c:pt>
                <c:pt idx="14">
                  <c:v>0.47675243377685544</c:v>
                </c:pt>
                <c:pt idx="15">
                  <c:v>0.47675243377685544</c:v>
                </c:pt>
                <c:pt idx="16">
                  <c:v>0.47675243377685544</c:v>
                </c:pt>
                <c:pt idx="17">
                  <c:v>0.47675243377685544</c:v>
                </c:pt>
                <c:pt idx="18">
                  <c:v>0.47675243377685544</c:v>
                </c:pt>
                <c:pt idx="19">
                  <c:v>0.47675243377685544</c:v>
                </c:pt>
                <c:pt idx="20">
                  <c:v>0.47675243377685544</c:v>
                </c:pt>
                <c:pt idx="21">
                  <c:v>0.47675243377685544</c:v>
                </c:pt>
                <c:pt idx="22">
                  <c:v>0.47675243377685544</c:v>
                </c:pt>
                <c:pt idx="23">
                  <c:v>0.47675243377685544</c:v>
                </c:pt>
                <c:pt idx="24">
                  <c:v>0.47675243377685544</c:v>
                </c:pt>
                <c:pt idx="25">
                  <c:v>0.47675243377685544</c:v>
                </c:pt>
                <c:pt idx="26">
                  <c:v>0.47675243377685544</c:v>
                </c:pt>
                <c:pt idx="27">
                  <c:v>0.47675243377685544</c:v>
                </c:pt>
                <c:pt idx="28">
                  <c:v>0.47675243377685544</c:v>
                </c:pt>
                <c:pt idx="29">
                  <c:v>0.47675243377685544</c:v>
                </c:pt>
                <c:pt idx="30">
                  <c:v>0.47675243377685544</c:v>
                </c:pt>
                <c:pt idx="31">
                  <c:v>0.47675243377685544</c:v>
                </c:pt>
                <c:pt idx="32">
                  <c:v>0.47675243377685544</c:v>
                </c:pt>
                <c:pt idx="33">
                  <c:v>0.47675243377685544</c:v>
                </c:pt>
                <c:pt idx="34">
                  <c:v>0.47675243377685544</c:v>
                </c:pt>
                <c:pt idx="35">
                  <c:v>0.47675243377685544</c:v>
                </c:pt>
                <c:pt idx="36">
                  <c:v>0.47675243377685544</c:v>
                </c:pt>
                <c:pt idx="37">
                  <c:v>0.47675243377685544</c:v>
                </c:pt>
                <c:pt idx="38">
                  <c:v>0.47675243377685544</c:v>
                </c:pt>
                <c:pt idx="39">
                  <c:v>0.47675243377685544</c:v>
                </c:pt>
                <c:pt idx="40">
                  <c:v>0.47675243377685544</c:v>
                </c:pt>
                <c:pt idx="41">
                  <c:v>0.47675243377685544</c:v>
                </c:pt>
                <c:pt idx="42">
                  <c:v>0.47675243377685544</c:v>
                </c:pt>
                <c:pt idx="43">
                  <c:v>0.47675243377685544</c:v>
                </c:pt>
                <c:pt idx="44">
                  <c:v>0.47675243377685544</c:v>
                </c:pt>
                <c:pt idx="45">
                  <c:v>0.47675243377685544</c:v>
                </c:pt>
                <c:pt idx="46">
                  <c:v>0.47675243377685544</c:v>
                </c:pt>
                <c:pt idx="47">
                  <c:v>0.47675243377685544</c:v>
                </c:pt>
                <c:pt idx="48">
                  <c:v>0.47675243377685544</c:v>
                </c:pt>
                <c:pt idx="49">
                  <c:v>0.47675243377685544</c:v>
                </c:pt>
                <c:pt idx="50">
                  <c:v>0.47675243377685544</c:v>
                </c:pt>
                <c:pt idx="51">
                  <c:v>0.47675243377685544</c:v>
                </c:pt>
                <c:pt idx="52">
                  <c:v>0.47675243377685544</c:v>
                </c:pt>
                <c:pt idx="53">
                  <c:v>0.47675243377685544</c:v>
                </c:pt>
                <c:pt idx="54">
                  <c:v>0.47675243377685544</c:v>
                </c:pt>
                <c:pt idx="55">
                  <c:v>0.47675243377685544</c:v>
                </c:pt>
                <c:pt idx="56">
                  <c:v>0.47675243377685544</c:v>
                </c:pt>
                <c:pt idx="57">
                  <c:v>0.47675243377685544</c:v>
                </c:pt>
                <c:pt idx="58">
                  <c:v>0.47675243377685544</c:v>
                </c:pt>
                <c:pt idx="59">
                  <c:v>0.47675243377685544</c:v>
                </c:pt>
                <c:pt idx="60">
                  <c:v>0.47675243377685544</c:v>
                </c:pt>
                <c:pt idx="61">
                  <c:v>0.47675243377685544</c:v>
                </c:pt>
                <c:pt idx="62">
                  <c:v>0.47675243377685544</c:v>
                </c:pt>
                <c:pt idx="63">
                  <c:v>0.47675243377685544</c:v>
                </c:pt>
                <c:pt idx="64">
                  <c:v>0.47675243377685544</c:v>
                </c:pt>
                <c:pt idx="65">
                  <c:v>0.47675243377685544</c:v>
                </c:pt>
                <c:pt idx="66">
                  <c:v>0.47675243377685544</c:v>
                </c:pt>
                <c:pt idx="67">
                  <c:v>0.47675243377685544</c:v>
                </c:pt>
                <c:pt idx="68">
                  <c:v>0.47675243377685544</c:v>
                </c:pt>
                <c:pt idx="69">
                  <c:v>0.47675243377685544</c:v>
                </c:pt>
                <c:pt idx="70">
                  <c:v>0.47675243377685544</c:v>
                </c:pt>
                <c:pt idx="71">
                  <c:v>0.47675243377685544</c:v>
                </c:pt>
                <c:pt idx="72">
                  <c:v>0.47675243377685544</c:v>
                </c:pt>
                <c:pt idx="73">
                  <c:v>0.47675243377685544</c:v>
                </c:pt>
                <c:pt idx="74">
                  <c:v>0.47675243377685544</c:v>
                </c:pt>
                <c:pt idx="75">
                  <c:v>0.47675243377685544</c:v>
                </c:pt>
                <c:pt idx="76">
                  <c:v>0.47675243377685544</c:v>
                </c:pt>
                <c:pt idx="77">
                  <c:v>0.47675243377685544</c:v>
                </c:pt>
                <c:pt idx="78">
                  <c:v>0.47675243377685544</c:v>
                </c:pt>
                <c:pt idx="79">
                  <c:v>0.47675243377685544</c:v>
                </c:pt>
                <c:pt idx="80">
                  <c:v>0.47675243377685544</c:v>
                </c:pt>
                <c:pt idx="81">
                  <c:v>0.47675243377685544</c:v>
                </c:pt>
                <c:pt idx="82">
                  <c:v>0.47675243377685544</c:v>
                </c:pt>
                <c:pt idx="83">
                  <c:v>0.47675243377685544</c:v>
                </c:pt>
                <c:pt idx="84">
                  <c:v>0.47675243377685544</c:v>
                </c:pt>
                <c:pt idx="85">
                  <c:v>0.47675243377685544</c:v>
                </c:pt>
                <c:pt idx="86">
                  <c:v>0.47675243377685544</c:v>
                </c:pt>
                <c:pt idx="87">
                  <c:v>0.47675243377685544</c:v>
                </c:pt>
                <c:pt idx="88">
                  <c:v>0.47675243377685544</c:v>
                </c:pt>
                <c:pt idx="89">
                  <c:v>0.47675243377685544</c:v>
                </c:pt>
                <c:pt idx="90">
                  <c:v>0.47675243377685544</c:v>
                </c:pt>
                <c:pt idx="91">
                  <c:v>0.47675243377685544</c:v>
                </c:pt>
                <c:pt idx="92">
                  <c:v>0.47675243377685544</c:v>
                </c:pt>
                <c:pt idx="93">
                  <c:v>0.47675243377685544</c:v>
                </c:pt>
                <c:pt idx="94">
                  <c:v>0.47675243377685544</c:v>
                </c:pt>
                <c:pt idx="95">
                  <c:v>0.47675243377685544</c:v>
                </c:pt>
                <c:pt idx="96">
                  <c:v>0.47675243377685544</c:v>
                </c:pt>
                <c:pt idx="97">
                  <c:v>0.47675243377685544</c:v>
                </c:pt>
                <c:pt idx="98">
                  <c:v>0.47675243377685544</c:v>
                </c:pt>
                <c:pt idx="99">
                  <c:v>0.47675243377685544</c:v>
                </c:pt>
                <c:pt idx="100">
                  <c:v>0.47675243377685544</c:v>
                </c:pt>
                <c:pt idx="101">
                  <c:v>0.47675243377685544</c:v>
                </c:pt>
                <c:pt idx="102">
                  <c:v>0.47675243377685544</c:v>
                </c:pt>
                <c:pt idx="103">
                  <c:v>0.47675243377685544</c:v>
                </c:pt>
                <c:pt idx="104">
                  <c:v>0.47675243377685544</c:v>
                </c:pt>
                <c:pt idx="105">
                  <c:v>0.47675243377685544</c:v>
                </c:pt>
                <c:pt idx="106">
                  <c:v>0.47675243377685544</c:v>
                </c:pt>
                <c:pt idx="107">
                  <c:v>0.47675243377685544</c:v>
                </c:pt>
                <c:pt idx="108">
                  <c:v>0.47675243377685544</c:v>
                </c:pt>
                <c:pt idx="109">
                  <c:v>0.47675243377685544</c:v>
                </c:pt>
                <c:pt idx="110">
                  <c:v>0.47675243377685544</c:v>
                </c:pt>
                <c:pt idx="111">
                  <c:v>0.47675243377685544</c:v>
                </c:pt>
                <c:pt idx="112">
                  <c:v>0.47675243377685544</c:v>
                </c:pt>
                <c:pt idx="113">
                  <c:v>0.47675243377685544</c:v>
                </c:pt>
                <c:pt idx="114">
                  <c:v>0.47675243377685544</c:v>
                </c:pt>
                <c:pt idx="115">
                  <c:v>0.47675243377685544</c:v>
                </c:pt>
                <c:pt idx="116">
                  <c:v>0.47675243377685544</c:v>
                </c:pt>
                <c:pt idx="117">
                  <c:v>0.47675243377685544</c:v>
                </c:pt>
                <c:pt idx="118">
                  <c:v>0.47675243377685544</c:v>
                </c:pt>
                <c:pt idx="119">
                  <c:v>0.47675243377685544</c:v>
                </c:pt>
                <c:pt idx="120">
                  <c:v>0.47675243377685544</c:v>
                </c:pt>
                <c:pt idx="121">
                  <c:v>0.47675243377685544</c:v>
                </c:pt>
                <c:pt idx="122">
                  <c:v>0.47675243377685544</c:v>
                </c:pt>
                <c:pt idx="123">
                  <c:v>0.47675243377685544</c:v>
                </c:pt>
                <c:pt idx="124">
                  <c:v>0.47675243377685544</c:v>
                </c:pt>
                <c:pt idx="125">
                  <c:v>0.47675243377685544</c:v>
                </c:pt>
              </c:numCache>
            </c:numRef>
          </c:yVal>
          <c:smooth val="1"/>
          <c:extLst>
            <c:ext xmlns:c16="http://schemas.microsoft.com/office/drawing/2014/chart" uri="{C3380CC4-5D6E-409C-BE32-E72D297353CC}">
              <c16:uniqueId val="{00000003-82FB-46A2-AA17-4B19DE652B8C}"/>
            </c:ext>
          </c:extLst>
        </c:ser>
        <c:ser>
          <c:idx val="1"/>
          <c:order val="3"/>
          <c:tx>
            <c:v>95% confidence interval</c:v>
          </c:tx>
          <c:spPr>
            <a:ln w="19050" cap="rnd">
              <a:solidFill>
                <a:schemeClr val="bg1">
                  <a:lumMod val="50000"/>
                </a:schemeClr>
              </a:solidFill>
              <a:prstDash val="sysDash"/>
              <a:round/>
            </a:ln>
            <a:effectLst/>
          </c:spPr>
          <c:marker>
            <c:symbol val="none"/>
          </c:marker>
          <c:xVal>
            <c:numRef>
              <c:f>trust_indicator_data!$BH$2:$BH$127</c:f>
              <c:numCache>
                <c:formatCode>General</c:formatCode>
                <c:ptCount val="126"/>
                <c:pt idx="0">
                  <c:v>26</c:v>
                </c:pt>
                <c:pt idx="1">
                  <c:v>48</c:v>
                </c:pt>
                <c:pt idx="2">
                  <c:v>57</c:v>
                </c:pt>
                <c:pt idx="3">
                  <c:v>83</c:v>
                </c:pt>
                <c:pt idx="4">
                  <c:v>89</c:v>
                </c:pt>
                <c:pt idx="5">
                  <c:v>94</c:v>
                </c:pt>
                <c:pt idx="6">
                  <c:v>94</c:v>
                </c:pt>
                <c:pt idx="7">
                  <c:v>99</c:v>
                </c:pt>
                <c:pt idx="8">
                  <c:v>107</c:v>
                </c:pt>
                <c:pt idx="9">
                  <c:v>108</c:v>
                </c:pt>
                <c:pt idx="10">
                  <c:v>108</c:v>
                </c:pt>
                <c:pt idx="11">
                  <c:v>113</c:v>
                </c:pt>
                <c:pt idx="12">
                  <c:v>115</c:v>
                </c:pt>
                <c:pt idx="13">
                  <c:v>115</c:v>
                </c:pt>
                <c:pt idx="14">
                  <c:v>117</c:v>
                </c:pt>
                <c:pt idx="15">
                  <c:v>119</c:v>
                </c:pt>
                <c:pt idx="16">
                  <c:v>122</c:v>
                </c:pt>
                <c:pt idx="17">
                  <c:v>126</c:v>
                </c:pt>
                <c:pt idx="18">
                  <c:v>127</c:v>
                </c:pt>
                <c:pt idx="19">
                  <c:v>129</c:v>
                </c:pt>
                <c:pt idx="20">
                  <c:v>132</c:v>
                </c:pt>
                <c:pt idx="21">
                  <c:v>134</c:v>
                </c:pt>
                <c:pt idx="22">
                  <c:v>135</c:v>
                </c:pt>
                <c:pt idx="23">
                  <c:v>136</c:v>
                </c:pt>
                <c:pt idx="24">
                  <c:v>140</c:v>
                </c:pt>
                <c:pt idx="25">
                  <c:v>148</c:v>
                </c:pt>
                <c:pt idx="26">
                  <c:v>148</c:v>
                </c:pt>
                <c:pt idx="27">
                  <c:v>149</c:v>
                </c:pt>
                <c:pt idx="28">
                  <c:v>156</c:v>
                </c:pt>
                <c:pt idx="29">
                  <c:v>158</c:v>
                </c:pt>
                <c:pt idx="30">
                  <c:v>167</c:v>
                </c:pt>
                <c:pt idx="31">
                  <c:v>172</c:v>
                </c:pt>
                <c:pt idx="32">
                  <c:v>179</c:v>
                </c:pt>
                <c:pt idx="33">
                  <c:v>179</c:v>
                </c:pt>
                <c:pt idx="34">
                  <c:v>184</c:v>
                </c:pt>
                <c:pt idx="35">
                  <c:v>184</c:v>
                </c:pt>
                <c:pt idx="36">
                  <c:v>185</c:v>
                </c:pt>
                <c:pt idx="37">
                  <c:v>190</c:v>
                </c:pt>
                <c:pt idx="38">
                  <c:v>194</c:v>
                </c:pt>
                <c:pt idx="39">
                  <c:v>195</c:v>
                </c:pt>
                <c:pt idx="40">
                  <c:v>197</c:v>
                </c:pt>
                <c:pt idx="41">
                  <c:v>198</c:v>
                </c:pt>
                <c:pt idx="42">
                  <c:v>199</c:v>
                </c:pt>
                <c:pt idx="43">
                  <c:v>202</c:v>
                </c:pt>
                <c:pt idx="44">
                  <c:v>208</c:v>
                </c:pt>
                <c:pt idx="45">
                  <c:v>211</c:v>
                </c:pt>
                <c:pt idx="46">
                  <c:v>211</c:v>
                </c:pt>
                <c:pt idx="47">
                  <c:v>211</c:v>
                </c:pt>
                <c:pt idx="48">
                  <c:v>213</c:v>
                </c:pt>
                <c:pt idx="49">
                  <c:v>215</c:v>
                </c:pt>
                <c:pt idx="50">
                  <c:v>216</c:v>
                </c:pt>
                <c:pt idx="51">
                  <c:v>219</c:v>
                </c:pt>
                <c:pt idx="52">
                  <c:v>221</c:v>
                </c:pt>
                <c:pt idx="53">
                  <c:v>221</c:v>
                </c:pt>
                <c:pt idx="54">
                  <c:v>222</c:v>
                </c:pt>
                <c:pt idx="55">
                  <c:v>224</c:v>
                </c:pt>
                <c:pt idx="56">
                  <c:v>225</c:v>
                </c:pt>
                <c:pt idx="57">
                  <c:v>228</c:v>
                </c:pt>
                <c:pt idx="58">
                  <c:v>232</c:v>
                </c:pt>
                <c:pt idx="59">
                  <c:v>232</c:v>
                </c:pt>
                <c:pt idx="60">
                  <c:v>236</c:v>
                </c:pt>
                <c:pt idx="61">
                  <c:v>236</c:v>
                </c:pt>
                <c:pt idx="62">
                  <c:v>237</c:v>
                </c:pt>
                <c:pt idx="63">
                  <c:v>238</c:v>
                </c:pt>
                <c:pt idx="64">
                  <c:v>238</c:v>
                </c:pt>
                <c:pt idx="65">
                  <c:v>242</c:v>
                </c:pt>
                <c:pt idx="66">
                  <c:v>245</c:v>
                </c:pt>
                <c:pt idx="67">
                  <c:v>249</c:v>
                </c:pt>
                <c:pt idx="68">
                  <c:v>252</c:v>
                </c:pt>
                <c:pt idx="69">
                  <c:v>258</c:v>
                </c:pt>
                <c:pt idx="70">
                  <c:v>260</c:v>
                </c:pt>
                <c:pt idx="71">
                  <c:v>261</c:v>
                </c:pt>
                <c:pt idx="72">
                  <c:v>262</c:v>
                </c:pt>
                <c:pt idx="73">
                  <c:v>264</c:v>
                </c:pt>
                <c:pt idx="74">
                  <c:v>264</c:v>
                </c:pt>
                <c:pt idx="75">
                  <c:v>266</c:v>
                </c:pt>
                <c:pt idx="76">
                  <c:v>268</c:v>
                </c:pt>
                <c:pt idx="77">
                  <c:v>275</c:v>
                </c:pt>
                <c:pt idx="78">
                  <c:v>278</c:v>
                </c:pt>
                <c:pt idx="79">
                  <c:v>279</c:v>
                </c:pt>
                <c:pt idx="80">
                  <c:v>280</c:v>
                </c:pt>
                <c:pt idx="81">
                  <c:v>286</c:v>
                </c:pt>
                <c:pt idx="82">
                  <c:v>287</c:v>
                </c:pt>
                <c:pt idx="83">
                  <c:v>293</c:v>
                </c:pt>
                <c:pt idx="84">
                  <c:v>298</c:v>
                </c:pt>
                <c:pt idx="85">
                  <c:v>302</c:v>
                </c:pt>
                <c:pt idx="86">
                  <c:v>310</c:v>
                </c:pt>
                <c:pt idx="87">
                  <c:v>326</c:v>
                </c:pt>
                <c:pt idx="88">
                  <c:v>335</c:v>
                </c:pt>
                <c:pt idx="89">
                  <c:v>336</c:v>
                </c:pt>
                <c:pt idx="90">
                  <c:v>337</c:v>
                </c:pt>
                <c:pt idx="91">
                  <c:v>337</c:v>
                </c:pt>
                <c:pt idx="92">
                  <c:v>343</c:v>
                </c:pt>
                <c:pt idx="93">
                  <c:v>346</c:v>
                </c:pt>
                <c:pt idx="94">
                  <c:v>348</c:v>
                </c:pt>
                <c:pt idx="95">
                  <c:v>350</c:v>
                </c:pt>
                <c:pt idx="96">
                  <c:v>350</c:v>
                </c:pt>
                <c:pt idx="97">
                  <c:v>352</c:v>
                </c:pt>
                <c:pt idx="98">
                  <c:v>358</c:v>
                </c:pt>
                <c:pt idx="99">
                  <c:v>359</c:v>
                </c:pt>
                <c:pt idx="100">
                  <c:v>366</c:v>
                </c:pt>
                <c:pt idx="101">
                  <c:v>367</c:v>
                </c:pt>
                <c:pt idx="102">
                  <c:v>374</c:v>
                </c:pt>
                <c:pt idx="103">
                  <c:v>377</c:v>
                </c:pt>
                <c:pt idx="104">
                  <c:v>383</c:v>
                </c:pt>
                <c:pt idx="105">
                  <c:v>399</c:v>
                </c:pt>
                <c:pt idx="106">
                  <c:v>405</c:v>
                </c:pt>
                <c:pt idx="107">
                  <c:v>406</c:v>
                </c:pt>
                <c:pt idx="108">
                  <c:v>415</c:v>
                </c:pt>
                <c:pt idx="109">
                  <c:v>422</c:v>
                </c:pt>
                <c:pt idx="110">
                  <c:v>432</c:v>
                </c:pt>
                <c:pt idx="111">
                  <c:v>439</c:v>
                </c:pt>
                <c:pt idx="112">
                  <c:v>443</c:v>
                </c:pt>
                <c:pt idx="113">
                  <c:v>457</c:v>
                </c:pt>
                <c:pt idx="114">
                  <c:v>464</c:v>
                </c:pt>
                <c:pt idx="115">
                  <c:v>464</c:v>
                </c:pt>
                <c:pt idx="116">
                  <c:v>475</c:v>
                </c:pt>
                <c:pt idx="117">
                  <c:v>508</c:v>
                </c:pt>
                <c:pt idx="118">
                  <c:v>552</c:v>
                </c:pt>
                <c:pt idx="119">
                  <c:v>565</c:v>
                </c:pt>
                <c:pt idx="120">
                  <c:v>582</c:v>
                </c:pt>
                <c:pt idx="121">
                  <c:v>603</c:v>
                </c:pt>
                <c:pt idx="122">
                  <c:v>625</c:v>
                </c:pt>
                <c:pt idx="123">
                  <c:v>629</c:v>
                </c:pt>
                <c:pt idx="124">
                  <c:v>786</c:v>
                </c:pt>
                <c:pt idx="125">
                  <c:v>792</c:v>
                </c:pt>
              </c:numCache>
            </c:numRef>
          </c:xVal>
          <c:yVal>
            <c:numRef>
              <c:f>trust_indicator_data!$BJ$2:$BJ$127</c:f>
              <c:numCache>
                <c:formatCode>0%</c:formatCode>
                <c:ptCount val="126"/>
                <c:pt idx="0">
                  <c:v>0.28759854184611461</c:v>
                </c:pt>
                <c:pt idx="1">
                  <c:v>0.33552709879536813</c:v>
                </c:pt>
                <c:pt idx="2">
                  <c:v>0.34679545362945191</c:v>
                </c:pt>
                <c:pt idx="3">
                  <c:v>0.36854338568009137</c:v>
                </c:pt>
                <c:pt idx="4">
                  <c:v>0.37217911307498824</c:v>
                </c:pt>
                <c:pt idx="5">
                  <c:v>0.37494389339014722</c:v>
                </c:pt>
                <c:pt idx="6">
                  <c:v>0.37494389339014722</c:v>
                </c:pt>
                <c:pt idx="7">
                  <c:v>0.37750011078856988</c:v>
                </c:pt>
                <c:pt idx="8">
                  <c:v>0.38121707076546524</c:v>
                </c:pt>
                <c:pt idx="9">
                  <c:v>0.38165287966537376</c:v>
                </c:pt>
                <c:pt idx="10">
                  <c:v>0.38165287966537376</c:v>
                </c:pt>
                <c:pt idx="11">
                  <c:v>0.38374575030993635</c:v>
                </c:pt>
                <c:pt idx="12">
                  <c:v>0.38454499628131722</c:v>
                </c:pt>
                <c:pt idx="13">
                  <c:v>0.38454499628131722</c:v>
                </c:pt>
                <c:pt idx="14">
                  <c:v>0.38532395999562485</c:v>
                </c:pt>
                <c:pt idx="15">
                  <c:v>0.38608348536574499</c:v>
                </c:pt>
                <c:pt idx="16">
                  <c:v>0.38718805443464493</c:v>
                </c:pt>
                <c:pt idx="17">
                  <c:v>0.38859983678041921</c:v>
                </c:pt>
                <c:pt idx="18">
                  <c:v>0.38894246046304543</c:v>
                </c:pt>
                <c:pt idx="19">
                  <c:v>0.38961587659791991</c:v>
                </c:pt>
                <c:pt idx="20">
                  <c:v>0.39059753390398311</c:v>
                </c:pt>
                <c:pt idx="21">
                  <c:v>0.39123381364825144</c:v>
                </c:pt>
                <c:pt idx="22">
                  <c:v>0.39154670587363516</c:v>
                </c:pt>
                <c:pt idx="23">
                  <c:v>0.39185618454527699</c:v>
                </c:pt>
                <c:pt idx="24">
                  <c:v>0.39306117368466365</c:v>
                </c:pt>
                <c:pt idx="25">
                  <c:v>0.39532465494754709</c:v>
                </c:pt>
                <c:pt idx="26">
                  <c:v>0.39532465494754709</c:v>
                </c:pt>
                <c:pt idx="27">
                  <c:v>0.39559484984624865</c:v>
                </c:pt>
                <c:pt idx="28">
                  <c:v>0.39741370048870944</c:v>
                </c:pt>
                <c:pt idx="29">
                  <c:v>0.39791128720433455</c:v>
                </c:pt>
                <c:pt idx="30">
                  <c:v>0.40003986496529664</c:v>
                </c:pt>
                <c:pt idx="31">
                  <c:v>0.40115028517292739</c:v>
                </c:pt>
                <c:pt idx="32">
                  <c:v>0.40262678711843553</c:v>
                </c:pt>
                <c:pt idx="33">
                  <c:v>0.40262678711843553</c:v>
                </c:pt>
                <c:pt idx="34">
                  <c:v>0.40362994347017633</c:v>
                </c:pt>
                <c:pt idx="35">
                  <c:v>0.40362994347017633</c:v>
                </c:pt>
                <c:pt idx="36">
                  <c:v>0.40382572605095712</c:v>
                </c:pt>
                <c:pt idx="37">
                  <c:v>0.40478156027858481</c:v>
                </c:pt>
                <c:pt idx="38">
                  <c:v>0.40551971826110789</c:v>
                </c:pt>
                <c:pt idx="39">
                  <c:v>0.40570073239840299</c:v>
                </c:pt>
                <c:pt idx="40">
                  <c:v>0.40605865473653213</c:v>
                </c:pt>
                <c:pt idx="41">
                  <c:v>0.40623559725754421</c:v>
                </c:pt>
                <c:pt idx="42">
                  <c:v>0.40641121639377226</c:v>
                </c:pt>
                <c:pt idx="43">
                  <c:v>0.40693029628885818</c:v>
                </c:pt>
                <c:pt idx="44">
                  <c:v>0.40793485487975922</c:v>
                </c:pt>
                <c:pt idx="45">
                  <c:v>0.40842112709703116</c:v>
                </c:pt>
                <c:pt idx="46">
                  <c:v>0.40842112709703116</c:v>
                </c:pt>
                <c:pt idx="47">
                  <c:v>0.40842112709703116</c:v>
                </c:pt>
                <c:pt idx="48">
                  <c:v>0.40873963400306518</c:v>
                </c:pt>
                <c:pt idx="49">
                  <c:v>0.409053723740056</c:v>
                </c:pt>
                <c:pt idx="50">
                  <c:v>0.4092091439225673</c:v>
                </c:pt>
                <c:pt idx="51">
                  <c:v>0.40966905329201742</c:v>
                </c:pt>
                <c:pt idx="52">
                  <c:v>0.40997048598696872</c:v>
                </c:pt>
                <c:pt idx="53">
                  <c:v>0.40997048598696872</c:v>
                </c:pt>
                <c:pt idx="54">
                  <c:v>0.41011968501800544</c:v>
                </c:pt>
                <c:pt idx="55">
                  <c:v>0.4104151045623341</c:v>
                </c:pt>
                <c:pt idx="56">
                  <c:v>0.41056134700106361</c:v>
                </c:pt>
                <c:pt idx="57">
                  <c:v>0.41099433302062677</c:v>
                </c:pt>
                <c:pt idx="58">
                  <c:v>0.41155863473162391</c:v>
                </c:pt>
                <c:pt idx="59">
                  <c:v>0.41155863473162391</c:v>
                </c:pt>
                <c:pt idx="60">
                  <c:v>0.41210864020237925</c:v>
                </c:pt>
                <c:pt idx="61">
                  <c:v>0.41210864020237925</c:v>
                </c:pt>
                <c:pt idx="62">
                  <c:v>0.41224397813865526</c:v>
                </c:pt>
                <c:pt idx="63">
                  <c:v>0.41237846877777601</c:v>
                </c:pt>
                <c:pt idx="64">
                  <c:v>0.41237846877777601</c:v>
                </c:pt>
                <c:pt idx="65">
                  <c:v>0.41290813261034948</c:v>
                </c:pt>
                <c:pt idx="66">
                  <c:v>0.41329690296314031</c:v>
                </c:pt>
                <c:pt idx="67">
                  <c:v>0.41380437479870286</c:v>
                </c:pt>
                <c:pt idx="68">
                  <c:v>0.4141770812687226</c:v>
                </c:pt>
                <c:pt idx="69">
                  <c:v>0.41490303735876999</c:v>
                </c:pt>
                <c:pt idx="70">
                  <c:v>0.41513946029317017</c:v>
                </c:pt>
                <c:pt idx="71">
                  <c:v>0.41525665863508598</c:v>
                </c:pt>
                <c:pt idx="72">
                  <c:v>0.4153731901049747</c:v>
                </c:pt>
                <c:pt idx="73">
                  <c:v>0.41560427755596879</c:v>
                </c:pt>
                <c:pt idx="74">
                  <c:v>0.41560427755596879</c:v>
                </c:pt>
                <c:pt idx="75">
                  <c:v>0.41583277207820429</c:v>
                </c:pt>
                <c:pt idx="76">
                  <c:v>0.41605872181845766</c:v>
                </c:pt>
                <c:pt idx="77">
                  <c:v>0.41683017219269924</c:v>
                </c:pt>
                <c:pt idx="78">
                  <c:v>0.41715189919096646</c:v>
                </c:pt>
                <c:pt idx="79">
                  <c:v>0.41725799438898675</c:v>
                </c:pt>
                <c:pt idx="80">
                  <c:v>0.41736352451091813</c:v>
                </c:pt>
                <c:pt idx="81">
                  <c:v>0.41798511438100944</c:v>
                </c:pt>
                <c:pt idx="82">
                  <c:v>0.41808682558234855</c:v>
                </c:pt>
                <c:pt idx="83">
                  <c:v>0.41868618777621402</c:v>
                </c:pt>
                <c:pt idx="84">
                  <c:v>0.41917185411346009</c:v>
                </c:pt>
                <c:pt idx="85">
                  <c:v>0.41955172621234432</c:v>
                </c:pt>
                <c:pt idx="86">
                  <c:v>0.42028942912295691</c:v>
                </c:pt>
                <c:pt idx="87">
                  <c:v>0.42168300100605915</c:v>
                </c:pt>
                <c:pt idx="88">
                  <c:v>0.42242288407600131</c:v>
                </c:pt>
                <c:pt idx="89">
                  <c:v>0.42250326371872027</c:v>
                </c:pt>
                <c:pt idx="90">
                  <c:v>0.42258328736106449</c:v>
                </c:pt>
                <c:pt idx="91">
                  <c:v>0.42258328736106449</c:v>
                </c:pt>
                <c:pt idx="92">
                  <c:v>0.42305609811500006</c:v>
                </c:pt>
                <c:pt idx="93">
                  <c:v>0.42328790385509762</c:v>
                </c:pt>
                <c:pt idx="94">
                  <c:v>0.42344078218220482</c:v>
                </c:pt>
                <c:pt idx="95">
                  <c:v>0.42359235547992441</c:v>
                </c:pt>
                <c:pt idx="96">
                  <c:v>0.42359235547992441</c:v>
                </c:pt>
                <c:pt idx="97">
                  <c:v>0.42374264221599484</c:v>
                </c:pt>
                <c:pt idx="98">
                  <c:v>0.42418596232822492</c:v>
                </c:pt>
                <c:pt idx="99">
                  <c:v>0.4242587723169885</c:v>
                </c:pt>
                <c:pt idx="100">
                  <c:v>0.42476010277009274</c:v>
                </c:pt>
                <c:pt idx="101">
                  <c:v>0.42483055432856393</c:v>
                </c:pt>
                <c:pt idx="102">
                  <c:v>0.42531581831756221</c:v>
                </c:pt>
                <c:pt idx="103">
                  <c:v>0.42551966074170983</c:v>
                </c:pt>
                <c:pt idx="104">
                  <c:v>0.42592017374673719</c:v>
                </c:pt>
                <c:pt idx="105">
                  <c:v>0.42694390455083081</c:v>
                </c:pt>
                <c:pt idx="106">
                  <c:v>0.42731214805919282</c:v>
                </c:pt>
                <c:pt idx="107">
                  <c:v>0.42737273090032618</c:v>
                </c:pt>
                <c:pt idx="108">
                  <c:v>0.42790813195002891</c:v>
                </c:pt>
                <c:pt idx="109">
                  <c:v>0.42831271511805574</c:v>
                </c:pt>
                <c:pt idx="110">
                  <c:v>0.42887362193622974</c:v>
                </c:pt>
                <c:pt idx="111">
                  <c:v>0.42925485284495873</c:v>
                </c:pt>
                <c:pt idx="112">
                  <c:v>0.42946864895654246</c:v>
                </c:pt>
                <c:pt idx="113">
                  <c:v>0.43019479783214509</c:v>
                </c:pt>
                <c:pt idx="114">
                  <c:v>0.43054553896594339</c:v>
                </c:pt>
                <c:pt idx="115">
                  <c:v>0.43054553896594339</c:v>
                </c:pt>
                <c:pt idx="116">
                  <c:v>0.43108102535979537</c:v>
                </c:pt>
                <c:pt idx="117">
                  <c:v>0.43258219681526427</c:v>
                </c:pt>
                <c:pt idx="118">
                  <c:v>0.43437114787885706</c:v>
                </c:pt>
                <c:pt idx="119">
                  <c:v>0.43485942892446644</c:v>
                </c:pt>
                <c:pt idx="120">
                  <c:v>0.43547318572868643</c:v>
                </c:pt>
                <c:pt idx="121">
                  <c:v>0.43619535003342036</c:v>
                </c:pt>
                <c:pt idx="122">
                  <c:v>0.43691265254722267</c:v>
                </c:pt>
                <c:pt idx="123">
                  <c:v>0.43703902536497663</c:v>
                </c:pt>
                <c:pt idx="124">
                  <c:v>0.44121153233835381</c:v>
                </c:pt>
                <c:pt idx="125">
                  <c:v>0.44134596158657896</c:v>
                </c:pt>
              </c:numCache>
            </c:numRef>
          </c:yVal>
          <c:smooth val="1"/>
          <c:extLst>
            <c:ext xmlns:c16="http://schemas.microsoft.com/office/drawing/2014/chart" uri="{C3380CC4-5D6E-409C-BE32-E72D297353CC}">
              <c16:uniqueId val="{00000001-82FB-46A2-AA17-4B19DE652B8C}"/>
            </c:ext>
          </c:extLst>
        </c:ser>
        <c:ser>
          <c:idx val="2"/>
          <c:order val="4"/>
          <c:spPr>
            <a:ln w="19050" cap="rnd">
              <a:solidFill>
                <a:schemeClr val="bg1">
                  <a:lumMod val="50000"/>
                </a:schemeClr>
              </a:solidFill>
              <a:prstDash val="sysDash"/>
              <a:round/>
            </a:ln>
            <a:effectLst/>
          </c:spPr>
          <c:marker>
            <c:symbol val="none"/>
          </c:marker>
          <c:xVal>
            <c:numRef>
              <c:f>trust_indicator_data!$BH$2:$BH$127</c:f>
              <c:numCache>
                <c:formatCode>General</c:formatCode>
                <c:ptCount val="126"/>
                <c:pt idx="0">
                  <c:v>26</c:v>
                </c:pt>
                <c:pt idx="1">
                  <c:v>48</c:v>
                </c:pt>
                <c:pt idx="2">
                  <c:v>57</c:v>
                </c:pt>
                <c:pt idx="3">
                  <c:v>83</c:v>
                </c:pt>
                <c:pt idx="4">
                  <c:v>89</c:v>
                </c:pt>
                <c:pt idx="5">
                  <c:v>94</c:v>
                </c:pt>
                <c:pt idx="6">
                  <c:v>94</c:v>
                </c:pt>
                <c:pt idx="7">
                  <c:v>99</c:v>
                </c:pt>
                <c:pt idx="8">
                  <c:v>107</c:v>
                </c:pt>
                <c:pt idx="9">
                  <c:v>108</c:v>
                </c:pt>
                <c:pt idx="10">
                  <c:v>108</c:v>
                </c:pt>
                <c:pt idx="11">
                  <c:v>113</c:v>
                </c:pt>
                <c:pt idx="12">
                  <c:v>115</c:v>
                </c:pt>
                <c:pt idx="13">
                  <c:v>115</c:v>
                </c:pt>
                <c:pt idx="14">
                  <c:v>117</c:v>
                </c:pt>
                <c:pt idx="15">
                  <c:v>119</c:v>
                </c:pt>
                <c:pt idx="16">
                  <c:v>122</c:v>
                </c:pt>
                <c:pt idx="17">
                  <c:v>126</c:v>
                </c:pt>
                <c:pt idx="18">
                  <c:v>127</c:v>
                </c:pt>
                <c:pt idx="19">
                  <c:v>129</c:v>
                </c:pt>
                <c:pt idx="20">
                  <c:v>132</c:v>
                </c:pt>
                <c:pt idx="21">
                  <c:v>134</c:v>
                </c:pt>
                <c:pt idx="22">
                  <c:v>135</c:v>
                </c:pt>
                <c:pt idx="23">
                  <c:v>136</c:v>
                </c:pt>
                <c:pt idx="24">
                  <c:v>140</c:v>
                </c:pt>
                <c:pt idx="25">
                  <c:v>148</c:v>
                </c:pt>
                <c:pt idx="26">
                  <c:v>148</c:v>
                </c:pt>
                <c:pt idx="27">
                  <c:v>149</c:v>
                </c:pt>
                <c:pt idx="28">
                  <c:v>156</c:v>
                </c:pt>
                <c:pt idx="29">
                  <c:v>158</c:v>
                </c:pt>
                <c:pt idx="30">
                  <c:v>167</c:v>
                </c:pt>
                <c:pt idx="31">
                  <c:v>172</c:v>
                </c:pt>
                <c:pt idx="32">
                  <c:v>179</c:v>
                </c:pt>
                <c:pt idx="33">
                  <c:v>179</c:v>
                </c:pt>
                <c:pt idx="34">
                  <c:v>184</c:v>
                </c:pt>
                <c:pt idx="35">
                  <c:v>184</c:v>
                </c:pt>
                <c:pt idx="36">
                  <c:v>185</c:v>
                </c:pt>
                <c:pt idx="37">
                  <c:v>190</c:v>
                </c:pt>
                <c:pt idx="38">
                  <c:v>194</c:v>
                </c:pt>
                <c:pt idx="39">
                  <c:v>195</c:v>
                </c:pt>
                <c:pt idx="40">
                  <c:v>197</c:v>
                </c:pt>
                <c:pt idx="41">
                  <c:v>198</c:v>
                </c:pt>
                <c:pt idx="42">
                  <c:v>199</c:v>
                </c:pt>
                <c:pt idx="43">
                  <c:v>202</c:v>
                </c:pt>
                <c:pt idx="44">
                  <c:v>208</c:v>
                </c:pt>
                <c:pt idx="45">
                  <c:v>211</c:v>
                </c:pt>
                <c:pt idx="46">
                  <c:v>211</c:v>
                </c:pt>
                <c:pt idx="47">
                  <c:v>211</c:v>
                </c:pt>
                <c:pt idx="48">
                  <c:v>213</c:v>
                </c:pt>
                <c:pt idx="49">
                  <c:v>215</c:v>
                </c:pt>
                <c:pt idx="50">
                  <c:v>216</c:v>
                </c:pt>
                <c:pt idx="51">
                  <c:v>219</c:v>
                </c:pt>
                <c:pt idx="52">
                  <c:v>221</c:v>
                </c:pt>
                <c:pt idx="53">
                  <c:v>221</c:v>
                </c:pt>
                <c:pt idx="54">
                  <c:v>222</c:v>
                </c:pt>
                <c:pt idx="55">
                  <c:v>224</c:v>
                </c:pt>
                <c:pt idx="56">
                  <c:v>225</c:v>
                </c:pt>
                <c:pt idx="57">
                  <c:v>228</c:v>
                </c:pt>
                <c:pt idx="58">
                  <c:v>232</c:v>
                </c:pt>
                <c:pt idx="59">
                  <c:v>232</c:v>
                </c:pt>
                <c:pt idx="60">
                  <c:v>236</c:v>
                </c:pt>
                <c:pt idx="61">
                  <c:v>236</c:v>
                </c:pt>
                <c:pt idx="62">
                  <c:v>237</c:v>
                </c:pt>
                <c:pt idx="63">
                  <c:v>238</c:v>
                </c:pt>
                <c:pt idx="64">
                  <c:v>238</c:v>
                </c:pt>
                <c:pt idx="65">
                  <c:v>242</c:v>
                </c:pt>
                <c:pt idx="66">
                  <c:v>245</c:v>
                </c:pt>
                <c:pt idx="67">
                  <c:v>249</c:v>
                </c:pt>
                <c:pt idx="68">
                  <c:v>252</c:v>
                </c:pt>
                <c:pt idx="69">
                  <c:v>258</c:v>
                </c:pt>
                <c:pt idx="70">
                  <c:v>260</c:v>
                </c:pt>
                <c:pt idx="71">
                  <c:v>261</c:v>
                </c:pt>
                <c:pt idx="72">
                  <c:v>262</c:v>
                </c:pt>
                <c:pt idx="73">
                  <c:v>264</c:v>
                </c:pt>
                <c:pt idx="74">
                  <c:v>264</c:v>
                </c:pt>
                <c:pt idx="75">
                  <c:v>266</c:v>
                </c:pt>
                <c:pt idx="76">
                  <c:v>268</c:v>
                </c:pt>
                <c:pt idx="77">
                  <c:v>275</c:v>
                </c:pt>
                <c:pt idx="78">
                  <c:v>278</c:v>
                </c:pt>
                <c:pt idx="79">
                  <c:v>279</c:v>
                </c:pt>
                <c:pt idx="80">
                  <c:v>280</c:v>
                </c:pt>
                <c:pt idx="81">
                  <c:v>286</c:v>
                </c:pt>
                <c:pt idx="82">
                  <c:v>287</c:v>
                </c:pt>
                <c:pt idx="83">
                  <c:v>293</c:v>
                </c:pt>
                <c:pt idx="84">
                  <c:v>298</c:v>
                </c:pt>
                <c:pt idx="85">
                  <c:v>302</c:v>
                </c:pt>
                <c:pt idx="86">
                  <c:v>310</c:v>
                </c:pt>
                <c:pt idx="87">
                  <c:v>326</c:v>
                </c:pt>
                <c:pt idx="88">
                  <c:v>335</c:v>
                </c:pt>
                <c:pt idx="89">
                  <c:v>336</c:v>
                </c:pt>
                <c:pt idx="90">
                  <c:v>337</c:v>
                </c:pt>
                <c:pt idx="91">
                  <c:v>337</c:v>
                </c:pt>
                <c:pt idx="92">
                  <c:v>343</c:v>
                </c:pt>
                <c:pt idx="93">
                  <c:v>346</c:v>
                </c:pt>
                <c:pt idx="94">
                  <c:v>348</c:v>
                </c:pt>
                <c:pt idx="95">
                  <c:v>350</c:v>
                </c:pt>
                <c:pt idx="96">
                  <c:v>350</c:v>
                </c:pt>
                <c:pt idx="97">
                  <c:v>352</c:v>
                </c:pt>
                <c:pt idx="98">
                  <c:v>358</c:v>
                </c:pt>
                <c:pt idx="99">
                  <c:v>359</c:v>
                </c:pt>
                <c:pt idx="100">
                  <c:v>366</c:v>
                </c:pt>
                <c:pt idx="101">
                  <c:v>367</c:v>
                </c:pt>
                <c:pt idx="102">
                  <c:v>374</c:v>
                </c:pt>
                <c:pt idx="103">
                  <c:v>377</c:v>
                </c:pt>
                <c:pt idx="104">
                  <c:v>383</c:v>
                </c:pt>
                <c:pt idx="105">
                  <c:v>399</c:v>
                </c:pt>
                <c:pt idx="106">
                  <c:v>405</c:v>
                </c:pt>
                <c:pt idx="107">
                  <c:v>406</c:v>
                </c:pt>
                <c:pt idx="108">
                  <c:v>415</c:v>
                </c:pt>
                <c:pt idx="109">
                  <c:v>422</c:v>
                </c:pt>
                <c:pt idx="110">
                  <c:v>432</c:v>
                </c:pt>
                <c:pt idx="111">
                  <c:v>439</c:v>
                </c:pt>
                <c:pt idx="112">
                  <c:v>443</c:v>
                </c:pt>
                <c:pt idx="113">
                  <c:v>457</c:v>
                </c:pt>
                <c:pt idx="114">
                  <c:v>464</c:v>
                </c:pt>
                <c:pt idx="115">
                  <c:v>464</c:v>
                </c:pt>
                <c:pt idx="116">
                  <c:v>475</c:v>
                </c:pt>
                <c:pt idx="117">
                  <c:v>508</c:v>
                </c:pt>
                <c:pt idx="118">
                  <c:v>552</c:v>
                </c:pt>
                <c:pt idx="119">
                  <c:v>565</c:v>
                </c:pt>
                <c:pt idx="120">
                  <c:v>582</c:v>
                </c:pt>
                <c:pt idx="121">
                  <c:v>603</c:v>
                </c:pt>
                <c:pt idx="122">
                  <c:v>625</c:v>
                </c:pt>
                <c:pt idx="123">
                  <c:v>629</c:v>
                </c:pt>
                <c:pt idx="124">
                  <c:v>786</c:v>
                </c:pt>
                <c:pt idx="125">
                  <c:v>792</c:v>
                </c:pt>
              </c:numCache>
            </c:numRef>
          </c:xVal>
          <c:yVal>
            <c:numRef>
              <c:f>trust_indicator_data!$BK$2:$BK$127</c:f>
              <c:numCache>
                <c:formatCode>0%</c:formatCode>
                <c:ptCount val="126"/>
                <c:pt idx="0">
                  <c:v>0.66943725566914825</c:v>
                </c:pt>
                <c:pt idx="1">
                  <c:v>0.61990164980607154</c:v>
                </c:pt>
                <c:pt idx="2">
                  <c:v>0.60833130397047364</c:v>
                </c:pt>
                <c:pt idx="3">
                  <c:v>0.58607735427633023</c:v>
                </c:pt>
                <c:pt idx="4">
                  <c:v>0.5823666815359515</c:v>
                </c:pt>
                <c:pt idx="5">
                  <c:v>0.57954672926525796</c:v>
                </c:pt>
                <c:pt idx="6">
                  <c:v>0.57954672926525796</c:v>
                </c:pt>
                <c:pt idx="7">
                  <c:v>0.57694089401498927</c:v>
                </c:pt>
                <c:pt idx="8">
                  <c:v>0.57315416067924108</c:v>
                </c:pt>
                <c:pt idx="9">
                  <c:v>0.57271035466609199</c:v>
                </c:pt>
                <c:pt idx="10">
                  <c:v>0.57271035466609199</c:v>
                </c:pt>
                <c:pt idx="11">
                  <c:v>0.57057961530385193</c:v>
                </c:pt>
                <c:pt idx="12">
                  <c:v>0.56976614118722435</c:v>
                </c:pt>
                <c:pt idx="13">
                  <c:v>0.56976614118722435</c:v>
                </c:pt>
                <c:pt idx="14">
                  <c:v>0.56897343437084413</c:v>
                </c:pt>
                <c:pt idx="15">
                  <c:v>0.56820062655465386</c:v>
                </c:pt>
                <c:pt idx="16">
                  <c:v>0.56707694812432907</c:v>
                </c:pt>
                <c:pt idx="17">
                  <c:v>0.56564109838501442</c:v>
                </c:pt>
                <c:pt idx="18">
                  <c:v>0.56529269411469785</c:v>
                </c:pt>
                <c:pt idx="19">
                  <c:v>0.56460798497276299</c:v>
                </c:pt>
                <c:pt idx="20">
                  <c:v>0.5636100281804769</c:v>
                </c:pt>
                <c:pt idx="21">
                  <c:v>0.56296328656121497</c:v>
                </c:pt>
                <c:pt idx="22">
                  <c:v>0.56264527935378861</c:v>
                </c:pt>
                <c:pt idx="23">
                  <c:v>0.56233076073569621</c:v>
                </c:pt>
                <c:pt idx="24">
                  <c:v>0.56110633008515209</c:v>
                </c:pt>
                <c:pt idx="25">
                  <c:v>0.55880711136258576</c:v>
                </c:pt>
                <c:pt idx="26">
                  <c:v>0.55880711136258576</c:v>
                </c:pt>
                <c:pt idx="27">
                  <c:v>0.55853271850644981</c:v>
                </c:pt>
                <c:pt idx="28">
                  <c:v>0.55668598589509277</c:v>
                </c:pt>
                <c:pt idx="29">
                  <c:v>0.55618088571886182</c:v>
                </c:pt>
                <c:pt idx="30">
                  <c:v>0.55402071997589386</c:v>
                </c:pt>
                <c:pt idx="31">
                  <c:v>0.55289417651359407</c:v>
                </c:pt>
                <c:pt idx="32">
                  <c:v>0.55139661243304139</c:v>
                </c:pt>
                <c:pt idx="33">
                  <c:v>0.55139661243304139</c:v>
                </c:pt>
                <c:pt idx="34">
                  <c:v>0.55037939107425893</c:v>
                </c:pt>
                <c:pt idx="35">
                  <c:v>0.55037939107425893</c:v>
                </c:pt>
                <c:pt idx="36">
                  <c:v>0.5501808865599207</c:v>
                </c:pt>
                <c:pt idx="37">
                  <c:v>0.54921187168838248</c:v>
                </c:pt>
                <c:pt idx="38">
                  <c:v>0.54846365752753667</c:v>
                </c:pt>
                <c:pt idx="39">
                  <c:v>0.54828019369799519</c:v>
                </c:pt>
                <c:pt idx="40">
                  <c:v>0.54791744645887153</c:v>
                </c:pt>
                <c:pt idx="41">
                  <c:v>0.54773812797802224</c:v>
                </c:pt>
                <c:pt idx="42">
                  <c:v>0.54756015672089786</c:v>
                </c:pt>
                <c:pt idx="43">
                  <c:v>0.54703415996218629</c:v>
                </c:pt>
                <c:pt idx="44">
                  <c:v>0.54601636525821517</c:v>
                </c:pt>
                <c:pt idx="45">
                  <c:v>0.54552375682463972</c:v>
                </c:pt>
                <c:pt idx="46">
                  <c:v>0.54552375682463972</c:v>
                </c:pt>
                <c:pt idx="47">
                  <c:v>0.54552375682463972</c:v>
                </c:pt>
                <c:pt idx="48">
                  <c:v>0.54520112477734095</c:v>
                </c:pt>
                <c:pt idx="49">
                  <c:v>0.54488298652676115</c:v>
                </c:pt>
                <c:pt idx="50">
                  <c:v>0.54472557015869194</c:v>
                </c:pt>
                <c:pt idx="51">
                  <c:v>0.54425978144590648</c:v>
                </c:pt>
                <c:pt idx="52">
                  <c:v>0.54395451773269188</c:v>
                </c:pt>
                <c:pt idx="53">
                  <c:v>0.54395451773269188</c:v>
                </c:pt>
                <c:pt idx="54">
                  <c:v>0.54380342903886791</c:v>
                </c:pt>
                <c:pt idx="55">
                  <c:v>0.54350428070951973</c:v>
                </c:pt>
                <c:pt idx="56">
                  <c:v>0.5433561986999752</c:v>
                </c:pt>
                <c:pt idx="57">
                  <c:v>0.54291779064576529</c:v>
                </c:pt>
                <c:pt idx="58">
                  <c:v>0.54234647736929364</c:v>
                </c:pt>
                <c:pt idx="59">
                  <c:v>0.54234647736929364</c:v>
                </c:pt>
                <c:pt idx="60">
                  <c:v>0.54178969767714802</c:v>
                </c:pt>
                <c:pt idx="61">
                  <c:v>0.54178969767714802</c:v>
                </c:pt>
                <c:pt idx="62">
                  <c:v>0.54165270186423065</c:v>
                </c:pt>
                <c:pt idx="63">
                  <c:v>0.54151656726067077</c:v>
                </c:pt>
                <c:pt idx="64">
                  <c:v>0.54151656726067077</c:v>
                </c:pt>
                <c:pt idx="65">
                  <c:v>0.54098046324781623</c:v>
                </c:pt>
                <c:pt idx="66">
                  <c:v>0.54058700057570641</c:v>
                </c:pt>
                <c:pt idx="67">
                  <c:v>0.54007344796212586</c:v>
                </c:pt>
                <c:pt idx="68">
                  <c:v>0.53969630742371522</c:v>
                </c:pt>
                <c:pt idx="69">
                  <c:v>0.53896179215038031</c:v>
                </c:pt>
                <c:pt idx="70">
                  <c:v>0.53872260382871395</c:v>
                </c:pt>
                <c:pt idx="71">
                  <c:v>0.53860403866587647</c:v>
                </c:pt>
                <c:pt idx="72">
                  <c:v>0.53848615079552553</c:v>
                </c:pt>
                <c:pt idx="73">
                  <c:v>0.5382523813319271</c:v>
                </c:pt>
                <c:pt idx="74">
                  <c:v>0.5382523813319271</c:v>
                </c:pt>
                <c:pt idx="75">
                  <c:v>0.53802124507751214</c:v>
                </c:pt>
                <c:pt idx="76">
                  <c:v>0.53779269298482713</c:v>
                </c:pt>
                <c:pt idx="77">
                  <c:v>0.5370124321030324</c:v>
                </c:pt>
                <c:pt idx="78">
                  <c:v>0.53668706483482009</c:v>
                </c:pt>
                <c:pt idx="79">
                  <c:v>0.53657977358942999</c:v>
                </c:pt>
                <c:pt idx="80">
                  <c:v>0.5364730559531441</c:v>
                </c:pt>
                <c:pt idx="81">
                  <c:v>0.53584451518369702</c:v>
                </c:pt>
                <c:pt idx="82">
                  <c:v>0.53574167372197201</c:v>
                </c:pt>
                <c:pt idx="83">
                  <c:v>0.53513569179814446</c:v>
                </c:pt>
                <c:pt idx="84">
                  <c:v>0.53464471241832012</c:v>
                </c:pt>
                <c:pt idx="85">
                  <c:v>0.53426071641399986</c:v>
                </c:pt>
                <c:pt idx="86">
                  <c:v>0.53351508461900155</c:v>
                </c:pt>
                <c:pt idx="87">
                  <c:v>0.53210682121544906</c:v>
                </c:pt>
                <c:pt idx="88">
                  <c:v>0.53135929026602269</c:v>
                </c:pt>
                <c:pt idx="89">
                  <c:v>0.53127808612441285</c:v>
                </c:pt>
                <c:pt idx="90">
                  <c:v>0.53119724287150261</c:v>
                </c:pt>
                <c:pt idx="91">
                  <c:v>0.53119724287150261</c:v>
                </c:pt>
                <c:pt idx="92">
                  <c:v>0.53071961471703821</c:v>
                </c:pt>
                <c:pt idx="93">
                  <c:v>0.53048546287032106</c:v>
                </c:pt>
                <c:pt idx="94">
                  <c:v>0.53033104292287803</c:v>
                </c:pt>
                <c:pt idx="95">
                  <c:v>0.53017794560654796</c:v>
                </c:pt>
                <c:pt idx="96">
                  <c:v>0.53017794560654796</c:v>
                </c:pt>
                <c:pt idx="97">
                  <c:v>0.53002615215384807</c:v>
                </c:pt>
                <c:pt idx="98">
                  <c:v>0.52957841280654372</c:v>
                </c:pt>
                <c:pt idx="99">
                  <c:v>0.52950488062674439</c:v>
                </c:pt>
                <c:pt idx="100">
                  <c:v>0.52899860523485254</c:v>
                </c:pt>
                <c:pt idx="101">
                  <c:v>0.52892746264135548</c:v>
                </c:pt>
                <c:pt idx="102">
                  <c:v>0.5284374647853729</c:v>
                </c:pt>
                <c:pt idx="103">
                  <c:v>0.52823164732780037</c:v>
                </c:pt>
                <c:pt idx="104">
                  <c:v>0.52782727699649512</c:v>
                </c:pt>
                <c:pt idx="105">
                  <c:v>0.52679382667392138</c:v>
                </c:pt>
                <c:pt idx="106">
                  <c:v>0.52642213617325251</c:v>
                </c:pt>
                <c:pt idx="107">
                  <c:v>0.52636098873041381</c:v>
                </c:pt>
                <c:pt idx="108">
                  <c:v>0.52582062861069334</c:v>
                </c:pt>
                <c:pt idx="109">
                  <c:v>0.52541233451165092</c:v>
                </c:pt>
                <c:pt idx="110">
                  <c:v>0.52484633481953402</c:v>
                </c:pt>
                <c:pt idx="111">
                  <c:v>0.52446167684700207</c:v>
                </c:pt>
                <c:pt idx="112">
                  <c:v>0.52424597100314385</c:v>
                </c:pt>
                <c:pt idx="113">
                  <c:v>0.52351340113968625</c:v>
                </c:pt>
                <c:pt idx="114">
                  <c:v>0.52315959471004048</c:v>
                </c:pt>
                <c:pt idx="115">
                  <c:v>0.52315959471004048</c:v>
                </c:pt>
                <c:pt idx="116">
                  <c:v>0.52261947382945451</c:v>
                </c:pt>
                <c:pt idx="117">
                  <c:v>0.52110560235984649</c:v>
                </c:pt>
                <c:pt idx="118">
                  <c:v>0.51930207859679733</c:v>
                </c:pt>
                <c:pt idx="119">
                  <c:v>0.51880992609176535</c:v>
                </c:pt>
                <c:pt idx="120">
                  <c:v>0.51819136742307126</c:v>
                </c:pt>
                <c:pt idx="121">
                  <c:v>0.51746364500291142</c:v>
                </c:pt>
                <c:pt idx="122">
                  <c:v>0.51674092009554995</c:v>
                </c:pt>
                <c:pt idx="123">
                  <c:v>0.51661360211865104</c:v>
                </c:pt>
                <c:pt idx="124">
                  <c:v>0.51241159327579811</c:v>
                </c:pt>
                <c:pt idx="125">
                  <c:v>0.51227626851026808</c:v>
                </c:pt>
              </c:numCache>
            </c:numRef>
          </c:yVal>
          <c:smooth val="1"/>
          <c:extLst>
            <c:ext xmlns:c16="http://schemas.microsoft.com/office/drawing/2014/chart" uri="{C3380CC4-5D6E-409C-BE32-E72D297353CC}">
              <c16:uniqueId val="{00000002-82FB-46A2-AA17-4B19DE652B8C}"/>
            </c:ext>
          </c:extLst>
        </c:ser>
        <c:ser>
          <c:idx val="5"/>
          <c:order val="5"/>
          <c:spPr>
            <a:ln w="19050" cap="rnd">
              <a:solidFill>
                <a:schemeClr val="tx1">
                  <a:lumMod val="50000"/>
                  <a:lumOff val="50000"/>
                </a:schemeClr>
              </a:solidFill>
              <a:prstDash val="lgDash"/>
              <a:round/>
            </a:ln>
            <a:effectLst/>
          </c:spPr>
          <c:marker>
            <c:symbol val="none"/>
          </c:marker>
          <c:xVal>
            <c:numRef>
              <c:f>trust_indicator_data!$BH$2:$BH$127</c:f>
              <c:numCache>
                <c:formatCode>General</c:formatCode>
                <c:ptCount val="126"/>
                <c:pt idx="0">
                  <c:v>26</c:v>
                </c:pt>
                <c:pt idx="1">
                  <c:v>48</c:v>
                </c:pt>
                <c:pt idx="2">
                  <c:v>57</c:v>
                </c:pt>
                <c:pt idx="3">
                  <c:v>83</c:v>
                </c:pt>
                <c:pt idx="4">
                  <c:v>89</c:v>
                </c:pt>
                <c:pt idx="5">
                  <c:v>94</c:v>
                </c:pt>
                <c:pt idx="6">
                  <c:v>94</c:v>
                </c:pt>
                <c:pt idx="7">
                  <c:v>99</c:v>
                </c:pt>
                <c:pt idx="8">
                  <c:v>107</c:v>
                </c:pt>
                <c:pt idx="9">
                  <c:v>108</c:v>
                </c:pt>
                <c:pt idx="10">
                  <c:v>108</c:v>
                </c:pt>
                <c:pt idx="11">
                  <c:v>113</c:v>
                </c:pt>
                <c:pt idx="12">
                  <c:v>115</c:v>
                </c:pt>
                <c:pt idx="13">
                  <c:v>115</c:v>
                </c:pt>
                <c:pt idx="14">
                  <c:v>117</c:v>
                </c:pt>
                <c:pt idx="15">
                  <c:v>119</c:v>
                </c:pt>
                <c:pt idx="16">
                  <c:v>122</c:v>
                </c:pt>
                <c:pt idx="17">
                  <c:v>126</c:v>
                </c:pt>
                <c:pt idx="18">
                  <c:v>127</c:v>
                </c:pt>
                <c:pt idx="19">
                  <c:v>129</c:v>
                </c:pt>
                <c:pt idx="20">
                  <c:v>132</c:v>
                </c:pt>
                <c:pt idx="21">
                  <c:v>134</c:v>
                </c:pt>
                <c:pt idx="22">
                  <c:v>135</c:v>
                </c:pt>
                <c:pt idx="23">
                  <c:v>136</c:v>
                </c:pt>
                <c:pt idx="24">
                  <c:v>140</c:v>
                </c:pt>
                <c:pt idx="25">
                  <c:v>148</c:v>
                </c:pt>
                <c:pt idx="26">
                  <c:v>148</c:v>
                </c:pt>
                <c:pt idx="27">
                  <c:v>149</c:v>
                </c:pt>
                <c:pt idx="28">
                  <c:v>156</c:v>
                </c:pt>
                <c:pt idx="29">
                  <c:v>158</c:v>
                </c:pt>
                <c:pt idx="30">
                  <c:v>167</c:v>
                </c:pt>
                <c:pt idx="31">
                  <c:v>172</c:v>
                </c:pt>
                <c:pt idx="32">
                  <c:v>179</c:v>
                </c:pt>
                <c:pt idx="33">
                  <c:v>179</c:v>
                </c:pt>
                <c:pt idx="34">
                  <c:v>184</c:v>
                </c:pt>
                <c:pt idx="35">
                  <c:v>184</c:v>
                </c:pt>
                <c:pt idx="36">
                  <c:v>185</c:v>
                </c:pt>
                <c:pt idx="37">
                  <c:v>190</c:v>
                </c:pt>
                <c:pt idx="38">
                  <c:v>194</c:v>
                </c:pt>
                <c:pt idx="39">
                  <c:v>195</c:v>
                </c:pt>
                <c:pt idx="40">
                  <c:v>197</c:v>
                </c:pt>
                <c:pt idx="41">
                  <c:v>198</c:v>
                </c:pt>
                <c:pt idx="42">
                  <c:v>199</c:v>
                </c:pt>
                <c:pt idx="43">
                  <c:v>202</c:v>
                </c:pt>
                <c:pt idx="44">
                  <c:v>208</c:v>
                </c:pt>
                <c:pt idx="45">
                  <c:v>211</c:v>
                </c:pt>
                <c:pt idx="46">
                  <c:v>211</c:v>
                </c:pt>
                <c:pt idx="47">
                  <c:v>211</c:v>
                </c:pt>
                <c:pt idx="48">
                  <c:v>213</c:v>
                </c:pt>
                <c:pt idx="49">
                  <c:v>215</c:v>
                </c:pt>
                <c:pt idx="50">
                  <c:v>216</c:v>
                </c:pt>
                <c:pt idx="51">
                  <c:v>219</c:v>
                </c:pt>
                <c:pt idx="52">
                  <c:v>221</c:v>
                </c:pt>
                <c:pt idx="53">
                  <c:v>221</c:v>
                </c:pt>
                <c:pt idx="54">
                  <c:v>222</c:v>
                </c:pt>
                <c:pt idx="55">
                  <c:v>224</c:v>
                </c:pt>
                <c:pt idx="56">
                  <c:v>225</c:v>
                </c:pt>
                <c:pt idx="57">
                  <c:v>228</c:v>
                </c:pt>
                <c:pt idx="58">
                  <c:v>232</c:v>
                </c:pt>
                <c:pt idx="59">
                  <c:v>232</c:v>
                </c:pt>
                <c:pt idx="60">
                  <c:v>236</c:v>
                </c:pt>
                <c:pt idx="61">
                  <c:v>236</c:v>
                </c:pt>
                <c:pt idx="62">
                  <c:v>237</c:v>
                </c:pt>
                <c:pt idx="63">
                  <c:v>238</c:v>
                </c:pt>
                <c:pt idx="64">
                  <c:v>238</c:v>
                </c:pt>
                <c:pt idx="65">
                  <c:v>242</c:v>
                </c:pt>
                <c:pt idx="66">
                  <c:v>245</c:v>
                </c:pt>
                <c:pt idx="67">
                  <c:v>249</c:v>
                </c:pt>
                <c:pt idx="68">
                  <c:v>252</c:v>
                </c:pt>
                <c:pt idx="69">
                  <c:v>258</c:v>
                </c:pt>
                <c:pt idx="70">
                  <c:v>260</c:v>
                </c:pt>
                <c:pt idx="71">
                  <c:v>261</c:v>
                </c:pt>
                <c:pt idx="72">
                  <c:v>262</c:v>
                </c:pt>
                <c:pt idx="73">
                  <c:v>264</c:v>
                </c:pt>
                <c:pt idx="74">
                  <c:v>264</c:v>
                </c:pt>
                <c:pt idx="75">
                  <c:v>266</c:v>
                </c:pt>
                <c:pt idx="76">
                  <c:v>268</c:v>
                </c:pt>
                <c:pt idx="77">
                  <c:v>275</c:v>
                </c:pt>
                <c:pt idx="78">
                  <c:v>278</c:v>
                </c:pt>
                <c:pt idx="79">
                  <c:v>279</c:v>
                </c:pt>
                <c:pt idx="80">
                  <c:v>280</c:v>
                </c:pt>
                <c:pt idx="81">
                  <c:v>286</c:v>
                </c:pt>
                <c:pt idx="82">
                  <c:v>287</c:v>
                </c:pt>
                <c:pt idx="83">
                  <c:v>293</c:v>
                </c:pt>
                <c:pt idx="84">
                  <c:v>298</c:v>
                </c:pt>
                <c:pt idx="85">
                  <c:v>302</c:v>
                </c:pt>
                <c:pt idx="86">
                  <c:v>310</c:v>
                </c:pt>
                <c:pt idx="87">
                  <c:v>326</c:v>
                </c:pt>
                <c:pt idx="88">
                  <c:v>335</c:v>
                </c:pt>
                <c:pt idx="89">
                  <c:v>336</c:v>
                </c:pt>
                <c:pt idx="90">
                  <c:v>337</c:v>
                </c:pt>
                <c:pt idx="91">
                  <c:v>337</c:v>
                </c:pt>
                <c:pt idx="92">
                  <c:v>343</c:v>
                </c:pt>
                <c:pt idx="93">
                  <c:v>346</c:v>
                </c:pt>
                <c:pt idx="94">
                  <c:v>348</c:v>
                </c:pt>
                <c:pt idx="95">
                  <c:v>350</c:v>
                </c:pt>
                <c:pt idx="96">
                  <c:v>350</c:v>
                </c:pt>
                <c:pt idx="97">
                  <c:v>352</c:v>
                </c:pt>
                <c:pt idx="98">
                  <c:v>358</c:v>
                </c:pt>
                <c:pt idx="99">
                  <c:v>359</c:v>
                </c:pt>
                <c:pt idx="100">
                  <c:v>366</c:v>
                </c:pt>
                <c:pt idx="101">
                  <c:v>367</c:v>
                </c:pt>
                <c:pt idx="102">
                  <c:v>374</c:v>
                </c:pt>
                <c:pt idx="103">
                  <c:v>377</c:v>
                </c:pt>
                <c:pt idx="104">
                  <c:v>383</c:v>
                </c:pt>
                <c:pt idx="105">
                  <c:v>399</c:v>
                </c:pt>
                <c:pt idx="106">
                  <c:v>405</c:v>
                </c:pt>
                <c:pt idx="107">
                  <c:v>406</c:v>
                </c:pt>
                <c:pt idx="108">
                  <c:v>415</c:v>
                </c:pt>
                <c:pt idx="109">
                  <c:v>422</c:v>
                </c:pt>
                <c:pt idx="110">
                  <c:v>432</c:v>
                </c:pt>
                <c:pt idx="111">
                  <c:v>439</c:v>
                </c:pt>
                <c:pt idx="112">
                  <c:v>443</c:v>
                </c:pt>
                <c:pt idx="113">
                  <c:v>457</c:v>
                </c:pt>
                <c:pt idx="114">
                  <c:v>464</c:v>
                </c:pt>
                <c:pt idx="115">
                  <c:v>464</c:v>
                </c:pt>
                <c:pt idx="116">
                  <c:v>475</c:v>
                </c:pt>
                <c:pt idx="117">
                  <c:v>508</c:v>
                </c:pt>
                <c:pt idx="118">
                  <c:v>552</c:v>
                </c:pt>
                <c:pt idx="119">
                  <c:v>565</c:v>
                </c:pt>
                <c:pt idx="120">
                  <c:v>582</c:v>
                </c:pt>
                <c:pt idx="121">
                  <c:v>603</c:v>
                </c:pt>
                <c:pt idx="122">
                  <c:v>625</c:v>
                </c:pt>
                <c:pt idx="123">
                  <c:v>629</c:v>
                </c:pt>
                <c:pt idx="124">
                  <c:v>786</c:v>
                </c:pt>
                <c:pt idx="125">
                  <c:v>792</c:v>
                </c:pt>
              </c:numCache>
            </c:numRef>
          </c:xVal>
          <c:yVal>
            <c:numRef>
              <c:f>trust_indicator_data!$BM$2:$BM$127</c:f>
              <c:numCache>
                <c:formatCode>0%</c:formatCode>
                <c:ptCount val="126"/>
                <c:pt idx="0">
                  <c:v>0.75785515478685761</c:v>
                </c:pt>
                <c:pt idx="1">
                  <c:v>0.6884748266203663</c:v>
                </c:pt>
                <c:pt idx="2">
                  <c:v>0.6718470450590166</c:v>
                </c:pt>
                <c:pt idx="3">
                  <c:v>0.63951357773290851</c:v>
                </c:pt>
                <c:pt idx="4">
                  <c:v>0.63408235734565455</c:v>
                </c:pt>
                <c:pt idx="5">
                  <c:v>0.62994798675189656</c:v>
                </c:pt>
                <c:pt idx="6">
                  <c:v>0.62994798675189656</c:v>
                </c:pt>
                <c:pt idx="7">
                  <c:v>0.6261224351317195</c:v>
                </c:pt>
                <c:pt idx="8">
                  <c:v>0.62055481269277113</c:v>
                </c:pt>
                <c:pt idx="9">
                  <c:v>0.61990164980607154</c:v>
                </c:pt>
                <c:pt idx="10">
                  <c:v>0.61990164980607154</c:v>
                </c:pt>
                <c:pt idx="11">
                  <c:v>0.6167639637425516</c:v>
                </c:pt>
                <c:pt idx="12">
                  <c:v>0.61556527723739585</c:v>
                </c:pt>
                <c:pt idx="13">
                  <c:v>0.61556527723739585</c:v>
                </c:pt>
                <c:pt idx="14">
                  <c:v>0.61439678388690588</c:v>
                </c:pt>
                <c:pt idx="15">
                  <c:v>0.61325723865724424</c:v>
                </c:pt>
                <c:pt idx="16">
                  <c:v>0.61159964762335473</c:v>
                </c:pt>
                <c:pt idx="17">
                  <c:v>0.60948042084362841</c:v>
                </c:pt>
                <c:pt idx="18">
                  <c:v>0.60896600742558982</c:v>
                </c:pt>
                <c:pt idx="19">
                  <c:v>0.60795483136212491</c:v>
                </c:pt>
                <c:pt idx="20">
                  <c:v>0.60648054927558448</c:v>
                </c:pt>
                <c:pt idx="21">
                  <c:v>0.60552480222480476</c:v>
                </c:pt>
                <c:pt idx="22">
                  <c:v>0.60505476481945997</c:v>
                </c:pt>
                <c:pt idx="23">
                  <c:v>0.60458982568070774</c:v>
                </c:pt>
                <c:pt idx="24">
                  <c:v>0.60277925747016914</c:v>
                </c:pt>
                <c:pt idx="25">
                  <c:v>0.59937709211636936</c:v>
                </c:pt>
                <c:pt idx="26">
                  <c:v>0.59937709211636936</c:v>
                </c:pt>
                <c:pt idx="27">
                  <c:v>0.59897087420666939</c:v>
                </c:pt>
                <c:pt idx="28">
                  <c:v>0.59623585360376896</c:v>
                </c:pt>
                <c:pt idx="29">
                  <c:v>0.59548747650650868</c:v>
                </c:pt>
                <c:pt idx="30">
                  <c:v>0.59228536427880196</c:v>
                </c:pt>
                <c:pt idx="31">
                  <c:v>0.59061447692751912</c:v>
                </c:pt>
                <c:pt idx="32">
                  <c:v>0.58839229746479826</c:v>
                </c:pt>
                <c:pt idx="33">
                  <c:v>0.58839229746479826</c:v>
                </c:pt>
                <c:pt idx="34">
                  <c:v>0.58688224511076093</c:v>
                </c:pt>
                <c:pt idx="35">
                  <c:v>0.58688224511076093</c:v>
                </c:pt>
                <c:pt idx="36">
                  <c:v>0.5865875085445309</c:v>
                </c:pt>
                <c:pt idx="37">
                  <c:v>0.58514845573342988</c:v>
                </c:pt>
                <c:pt idx="38">
                  <c:v>0.58403699912340712</c:v>
                </c:pt>
                <c:pt idx="39">
                  <c:v>0.58376442688109209</c:v>
                </c:pt>
                <c:pt idx="40">
                  <c:v>0.58322544659760756</c:v>
                </c:pt>
                <c:pt idx="41">
                  <c:v>0.58295898724600148</c:v>
                </c:pt>
                <c:pt idx="42">
                  <c:v>0.58269451495740365</c:v>
                </c:pt>
                <c:pt idx="43">
                  <c:v>0.58191277702019717</c:v>
                </c:pt>
                <c:pt idx="44">
                  <c:v>0.58039976582145103</c:v>
                </c:pt>
                <c:pt idx="45">
                  <c:v>0.57966730533187749</c:v>
                </c:pt>
                <c:pt idx="46">
                  <c:v>0.57966730533187749</c:v>
                </c:pt>
                <c:pt idx="47">
                  <c:v>0.57966730533187749</c:v>
                </c:pt>
                <c:pt idx="48">
                  <c:v>0.57918752384713468</c:v>
                </c:pt>
                <c:pt idx="49">
                  <c:v>0.57871437941364512</c:v>
                </c:pt>
                <c:pt idx="50">
                  <c:v>0.57848024855358715</c:v>
                </c:pt>
                <c:pt idx="51">
                  <c:v>0.57778740044398857</c:v>
                </c:pt>
                <c:pt idx="52">
                  <c:v>0.57733327707683346</c:v>
                </c:pt>
                <c:pt idx="53">
                  <c:v>0.57733327707683346</c:v>
                </c:pt>
                <c:pt idx="54">
                  <c:v>0.57710849596091263</c:v>
                </c:pt>
                <c:pt idx="55">
                  <c:v>0.5766634108088029</c:v>
                </c:pt>
                <c:pt idx="56">
                  <c:v>0.57644307392706762</c:v>
                </c:pt>
                <c:pt idx="57">
                  <c:v>0.57579069423137341</c:v>
                </c:pt>
                <c:pt idx="58">
                  <c:v>0.57494041904895998</c:v>
                </c:pt>
                <c:pt idx="59">
                  <c:v>0.57494041904895998</c:v>
                </c:pt>
                <c:pt idx="60">
                  <c:v>0.57411164032769235</c:v>
                </c:pt>
                <c:pt idx="61">
                  <c:v>0.57411164032769235</c:v>
                </c:pt>
                <c:pt idx="62">
                  <c:v>0.5739076990075781</c:v>
                </c:pt>
                <c:pt idx="63">
                  <c:v>0.57370503193318889</c:v>
                </c:pt>
                <c:pt idx="64">
                  <c:v>0.57370503193318889</c:v>
                </c:pt>
                <c:pt idx="65">
                  <c:v>0.57290684482822241</c:v>
                </c:pt>
                <c:pt idx="66">
                  <c:v>0.57232095564694696</c:v>
                </c:pt>
                <c:pt idx="67">
                  <c:v>0.5715561495961875</c:v>
                </c:pt>
                <c:pt idx="68">
                  <c:v>0.57099442608201612</c:v>
                </c:pt>
                <c:pt idx="69">
                  <c:v>0.56990025381666221</c:v>
                </c:pt>
                <c:pt idx="70">
                  <c:v>0.56954389976472908</c:v>
                </c:pt>
                <c:pt idx="71">
                  <c:v>0.56936724735141231</c:v>
                </c:pt>
                <c:pt idx="72">
                  <c:v>0.56919159852100609</c:v>
                </c:pt>
                <c:pt idx="73">
                  <c:v>0.5688432738912329</c:v>
                </c:pt>
                <c:pt idx="74">
                  <c:v>0.5688432738912329</c:v>
                </c:pt>
                <c:pt idx="75">
                  <c:v>0.56849885167086189</c:v>
                </c:pt>
                <c:pt idx="76">
                  <c:v>0.56815825957876775</c:v>
                </c:pt>
                <c:pt idx="77">
                  <c:v>0.56699534888164826</c:v>
                </c:pt>
                <c:pt idx="78">
                  <c:v>0.56651034803774014</c:v>
                </c:pt>
                <c:pt idx="79">
                  <c:v>0.56635040806267101</c:v>
                </c:pt>
                <c:pt idx="80">
                  <c:v>0.56619131882002027</c:v>
                </c:pt>
                <c:pt idx="81">
                  <c:v>0.56525423454439871</c:v>
                </c:pt>
                <c:pt idx="82">
                  <c:v>0.56510089521014162</c:v>
                </c:pt>
                <c:pt idx="83">
                  <c:v>0.56419727997754421</c:v>
                </c:pt>
                <c:pt idx="84">
                  <c:v>0.56346505207033493</c:v>
                </c:pt>
                <c:pt idx="85">
                  <c:v>0.56289231351080715</c:v>
                </c:pt>
                <c:pt idx="86">
                  <c:v>0.561780034522674</c:v>
                </c:pt>
                <c:pt idx="87">
                  <c:v>0.5596787503247217</c:v>
                </c:pt>
                <c:pt idx="88">
                  <c:v>0.55856307090880852</c:v>
                </c:pt>
                <c:pt idx="89">
                  <c:v>0.55844186333377244</c:v>
                </c:pt>
                <c:pt idx="90">
                  <c:v>0.55832119220055343</c:v>
                </c:pt>
                <c:pt idx="91">
                  <c:v>0.55832119220055343</c:v>
                </c:pt>
                <c:pt idx="92">
                  <c:v>0.55760821266233596</c:v>
                </c:pt>
                <c:pt idx="93">
                  <c:v>0.55725865436217936</c:v>
                </c:pt>
                <c:pt idx="94">
                  <c:v>0.55702811539132935</c:v>
                </c:pt>
                <c:pt idx="95">
                  <c:v>0.55679954317589797</c:v>
                </c:pt>
                <c:pt idx="96">
                  <c:v>0.55679954317589797</c:v>
                </c:pt>
                <c:pt idx="97">
                  <c:v>0.55657290992433506</c:v>
                </c:pt>
                <c:pt idx="98">
                  <c:v>0.55590437415334648</c:v>
                </c:pt>
                <c:pt idx="99">
                  <c:v>0.55579457430608092</c:v>
                </c:pt>
                <c:pt idx="100">
                  <c:v>0.55503854505782169</c:v>
                </c:pt>
                <c:pt idx="101">
                  <c:v>0.55493230000870042</c:v>
                </c:pt>
                <c:pt idx="102">
                  <c:v>0.55420048817539702</c:v>
                </c:pt>
                <c:pt idx="103">
                  <c:v>0.55389307689810585</c:v>
                </c:pt>
                <c:pt idx="104">
                  <c:v>0.55328906571483338</c:v>
                </c:pt>
                <c:pt idx="105">
                  <c:v>0.55174516040821575</c:v>
                </c:pt>
                <c:pt idx="106">
                  <c:v>0.55118979932261158</c:v>
                </c:pt>
                <c:pt idx="107">
                  <c:v>0.5510984318877461</c:v>
                </c:pt>
                <c:pt idx="108">
                  <c:v>0.55029096854269333</c:v>
                </c:pt>
                <c:pt idx="109">
                  <c:v>0.54968079425437</c:v>
                </c:pt>
                <c:pt idx="110">
                  <c:v>0.5488348556642102</c:v>
                </c:pt>
                <c:pt idx="111">
                  <c:v>0.54825989553523646</c:v>
                </c:pt>
                <c:pt idx="112">
                  <c:v>0.54793745463529808</c:v>
                </c:pt>
                <c:pt idx="113">
                  <c:v>0.54684229700230125</c:v>
                </c:pt>
                <c:pt idx="114">
                  <c:v>0.54631331866164623</c:v>
                </c:pt>
                <c:pt idx="115">
                  <c:v>0.54631331866164623</c:v>
                </c:pt>
                <c:pt idx="116">
                  <c:v>0.54550571312981067</c:v>
                </c:pt>
                <c:pt idx="117">
                  <c:v>0.54324170198628463</c:v>
                </c:pt>
                <c:pt idx="118">
                  <c:v>0.54054372700710873</c:v>
                </c:pt>
                <c:pt idx="119">
                  <c:v>0.53980735026132853</c:v>
                </c:pt>
                <c:pt idx="120">
                  <c:v>0.53888175553903517</c:v>
                </c:pt>
                <c:pt idx="121">
                  <c:v>0.53779269298482713</c:v>
                </c:pt>
                <c:pt idx="122">
                  <c:v>0.5367109857486364</c:v>
                </c:pt>
                <c:pt idx="123">
                  <c:v>0.53652041552514695</c:v>
                </c:pt>
                <c:pt idx="124">
                  <c:v>0.5302288322525166</c:v>
                </c:pt>
                <c:pt idx="125">
                  <c:v>0.53002615215384807</c:v>
                </c:pt>
              </c:numCache>
            </c:numRef>
          </c:yVal>
          <c:smooth val="1"/>
          <c:extLst>
            <c:ext xmlns:c16="http://schemas.microsoft.com/office/drawing/2014/chart" uri="{C3380CC4-5D6E-409C-BE32-E72D297353CC}">
              <c16:uniqueId val="{00000000-FD4F-4C59-85D7-3A3D3621BFE2}"/>
            </c:ext>
          </c:extLst>
        </c:ser>
        <c:ser>
          <c:idx val="6"/>
          <c:order val="6"/>
          <c:tx>
            <c:v>99.8% confidence interval</c:v>
          </c:tx>
          <c:spPr>
            <a:ln w="19050" cap="rnd">
              <a:solidFill>
                <a:schemeClr val="tx1">
                  <a:lumMod val="50000"/>
                  <a:lumOff val="50000"/>
                </a:schemeClr>
              </a:solidFill>
              <a:prstDash val="lgDash"/>
              <a:round/>
            </a:ln>
            <a:effectLst/>
          </c:spPr>
          <c:marker>
            <c:symbol val="none"/>
          </c:marker>
          <c:xVal>
            <c:numRef>
              <c:f>trust_indicator_data!$BH$2:$BH$127</c:f>
              <c:numCache>
                <c:formatCode>General</c:formatCode>
                <c:ptCount val="126"/>
                <c:pt idx="0">
                  <c:v>26</c:v>
                </c:pt>
                <c:pt idx="1">
                  <c:v>48</c:v>
                </c:pt>
                <c:pt idx="2">
                  <c:v>57</c:v>
                </c:pt>
                <c:pt idx="3">
                  <c:v>83</c:v>
                </c:pt>
                <c:pt idx="4">
                  <c:v>89</c:v>
                </c:pt>
                <c:pt idx="5">
                  <c:v>94</c:v>
                </c:pt>
                <c:pt idx="6">
                  <c:v>94</c:v>
                </c:pt>
                <c:pt idx="7">
                  <c:v>99</c:v>
                </c:pt>
                <c:pt idx="8">
                  <c:v>107</c:v>
                </c:pt>
                <c:pt idx="9">
                  <c:v>108</c:v>
                </c:pt>
                <c:pt idx="10">
                  <c:v>108</c:v>
                </c:pt>
                <c:pt idx="11">
                  <c:v>113</c:v>
                </c:pt>
                <c:pt idx="12">
                  <c:v>115</c:v>
                </c:pt>
                <c:pt idx="13">
                  <c:v>115</c:v>
                </c:pt>
                <c:pt idx="14">
                  <c:v>117</c:v>
                </c:pt>
                <c:pt idx="15">
                  <c:v>119</c:v>
                </c:pt>
                <c:pt idx="16">
                  <c:v>122</c:v>
                </c:pt>
                <c:pt idx="17">
                  <c:v>126</c:v>
                </c:pt>
                <c:pt idx="18">
                  <c:v>127</c:v>
                </c:pt>
                <c:pt idx="19">
                  <c:v>129</c:v>
                </c:pt>
                <c:pt idx="20">
                  <c:v>132</c:v>
                </c:pt>
                <c:pt idx="21">
                  <c:v>134</c:v>
                </c:pt>
                <c:pt idx="22">
                  <c:v>135</c:v>
                </c:pt>
                <c:pt idx="23">
                  <c:v>136</c:v>
                </c:pt>
                <c:pt idx="24">
                  <c:v>140</c:v>
                </c:pt>
                <c:pt idx="25">
                  <c:v>148</c:v>
                </c:pt>
                <c:pt idx="26">
                  <c:v>148</c:v>
                </c:pt>
                <c:pt idx="27">
                  <c:v>149</c:v>
                </c:pt>
                <c:pt idx="28">
                  <c:v>156</c:v>
                </c:pt>
                <c:pt idx="29">
                  <c:v>158</c:v>
                </c:pt>
                <c:pt idx="30">
                  <c:v>167</c:v>
                </c:pt>
                <c:pt idx="31">
                  <c:v>172</c:v>
                </c:pt>
                <c:pt idx="32">
                  <c:v>179</c:v>
                </c:pt>
                <c:pt idx="33">
                  <c:v>179</c:v>
                </c:pt>
                <c:pt idx="34">
                  <c:v>184</c:v>
                </c:pt>
                <c:pt idx="35">
                  <c:v>184</c:v>
                </c:pt>
                <c:pt idx="36">
                  <c:v>185</c:v>
                </c:pt>
                <c:pt idx="37">
                  <c:v>190</c:v>
                </c:pt>
                <c:pt idx="38">
                  <c:v>194</c:v>
                </c:pt>
                <c:pt idx="39">
                  <c:v>195</c:v>
                </c:pt>
                <c:pt idx="40">
                  <c:v>197</c:v>
                </c:pt>
                <c:pt idx="41">
                  <c:v>198</c:v>
                </c:pt>
                <c:pt idx="42">
                  <c:v>199</c:v>
                </c:pt>
                <c:pt idx="43">
                  <c:v>202</c:v>
                </c:pt>
                <c:pt idx="44">
                  <c:v>208</c:v>
                </c:pt>
                <c:pt idx="45">
                  <c:v>211</c:v>
                </c:pt>
                <c:pt idx="46">
                  <c:v>211</c:v>
                </c:pt>
                <c:pt idx="47">
                  <c:v>211</c:v>
                </c:pt>
                <c:pt idx="48">
                  <c:v>213</c:v>
                </c:pt>
                <c:pt idx="49">
                  <c:v>215</c:v>
                </c:pt>
                <c:pt idx="50">
                  <c:v>216</c:v>
                </c:pt>
                <c:pt idx="51">
                  <c:v>219</c:v>
                </c:pt>
                <c:pt idx="52">
                  <c:v>221</c:v>
                </c:pt>
                <c:pt idx="53">
                  <c:v>221</c:v>
                </c:pt>
                <c:pt idx="54">
                  <c:v>222</c:v>
                </c:pt>
                <c:pt idx="55">
                  <c:v>224</c:v>
                </c:pt>
                <c:pt idx="56">
                  <c:v>225</c:v>
                </c:pt>
                <c:pt idx="57">
                  <c:v>228</c:v>
                </c:pt>
                <c:pt idx="58">
                  <c:v>232</c:v>
                </c:pt>
                <c:pt idx="59">
                  <c:v>232</c:v>
                </c:pt>
                <c:pt idx="60">
                  <c:v>236</c:v>
                </c:pt>
                <c:pt idx="61">
                  <c:v>236</c:v>
                </c:pt>
                <c:pt idx="62">
                  <c:v>237</c:v>
                </c:pt>
                <c:pt idx="63">
                  <c:v>238</c:v>
                </c:pt>
                <c:pt idx="64">
                  <c:v>238</c:v>
                </c:pt>
                <c:pt idx="65">
                  <c:v>242</c:v>
                </c:pt>
                <c:pt idx="66">
                  <c:v>245</c:v>
                </c:pt>
                <c:pt idx="67">
                  <c:v>249</c:v>
                </c:pt>
                <c:pt idx="68">
                  <c:v>252</c:v>
                </c:pt>
                <c:pt idx="69">
                  <c:v>258</c:v>
                </c:pt>
                <c:pt idx="70">
                  <c:v>260</c:v>
                </c:pt>
                <c:pt idx="71">
                  <c:v>261</c:v>
                </c:pt>
                <c:pt idx="72">
                  <c:v>262</c:v>
                </c:pt>
                <c:pt idx="73">
                  <c:v>264</c:v>
                </c:pt>
                <c:pt idx="74">
                  <c:v>264</c:v>
                </c:pt>
                <c:pt idx="75">
                  <c:v>266</c:v>
                </c:pt>
                <c:pt idx="76">
                  <c:v>268</c:v>
                </c:pt>
                <c:pt idx="77">
                  <c:v>275</c:v>
                </c:pt>
                <c:pt idx="78">
                  <c:v>278</c:v>
                </c:pt>
                <c:pt idx="79">
                  <c:v>279</c:v>
                </c:pt>
                <c:pt idx="80">
                  <c:v>280</c:v>
                </c:pt>
                <c:pt idx="81">
                  <c:v>286</c:v>
                </c:pt>
                <c:pt idx="82">
                  <c:v>287</c:v>
                </c:pt>
                <c:pt idx="83">
                  <c:v>293</c:v>
                </c:pt>
                <c:pt idx="84">
                  <c:v>298</c:v>
                </c:pt>
                <c:pt idx="85">
                  <c:v>302</c:v>
                </c:pt>
                <c:pt idx="86">
                  <c:v>310</c:v>
                </c:pt>
                <c:pt idx="87">
                  <c:v>326</c:v>
                </c:pt>
                <c:pt idx="88">
                  <c:v>335</c:v>
                </c:pt>
                <c:pt idx="89">
                  <c:v>336</c:v>
                </c:pt>
                <c:pt idx="90">
                  <c:v>337</c:v>
                </c:pt>
                <c:pt idx="91">
                  <c:v>337</c:v>
                </c:pt>
                <c:pt idx="92">
                  <c:v>343</c:v>
                </c:pt>
                <c:pt idx="93">
                  <c:v>346</c:v>
                </c:pt>
                <c:pt idx="94">
                  <c:v>348</c:v>
                </c:pt>
                <c:pt idx="95">
                  <c:v>350</c:v>
                </c:pt>
                <c:pt idx="96">
                  <c:v>350</c:v>
                </c:pt>
                <c:pt idx="97">
                  <c:v>352</c:v>
                </c:pt>
                <c:pt idx="98">
                  <c:v>358</c:v>
                </c:pt>
                <c:pt idx="99">
                  <c:v>359</c:v>
                </c:pt>
                <c:pt idx="100">
                  <c:v>366</c:v>
                </c:pt>
                <c:pt idx="101">
                  <c:v>367</c:v>
                </c:pt>
                <c:pt idx="102">
                  <c:v>374</c:v>
                </c:pt>
                <c:pt idx="103">
                  <c:v>377</c:v>
                </c:pt>
                <c:pt idx="104">
                  <c:v>383</c:v>
                </c:pt>
                <c:pt idx="105">
                  <c:v>399</c:v>
                </c:pt>
                <c:pt idx="106">
                  <c:v>405</c:v>
                </c:pt>
                <c:pt idx="107">
                  <c:v>406</c:v>
                </c:pt>
                <c:pt idx="108">
                  <c:v>415</c:v>
                </c:pt>
                <c:pt idx="109">
                  <c:v>422</c:v>
                </c:pt>
                <c:pt idx="110">
                  <c:v>432</c:v>
                </c:pt>
                <c:pt idx="111">
                  <c:v>439</c:v>
                </c:pt>
                <c:pt idx="112">
                  <c:v>443</c:v>
                </c:pt>
                <c:pt idx="113">
                  <c:v>457</c:v>
                </c:pt>
                <c:pt idx="114">
                  <c:v>464</c:v>
                </c:pt>
                <c:pt idx="115">
                  <c:v>464</c:v>
                </c:pt>
                <c:pt idx="116">
                  <c:v>475</c:v>
                </c:pt>
                <c:pt idx="117">
                  <c:v>508</c:v>
                </c:pt>
                <c:pt idx="118">
                  <c:v>552</c:v>
                </c:pt>
                <c:pt idx="119">
                  <c:v>565</c:v>
                </c:pt>
                <c:pt idx="120">
                  <c:v>582</c:v>
                </c:pt>
                <c:pt idx="121">
                  <c:v>603</c:v>
                </c:pt>
                <c:pt idx="122">
                  <c:v>625</c:v>
                </c:pt>
                <c:pt idx="123">
                  <c:v>629</c:v>
                </c:pt>
                <c:pt idx="124">
                  <c:v>786</c:v>
                </c:pt>
                <c:pt idx="125">
                  <c:v>792</c:v>
                </c:pt>
              </c:numCache>
            </c:numRef>
          </c:xVal>
          <c:yVal>
            <c:numRef>
              <c:f>trust_indicator_data!$BL$2:$BL$127</c:f>
              <c:numCache>
                <c:formatCode>0%</c:formatCode>
                <c:ptCount val="126"/>
                <c:pt idx="0">
                  <c:v>0.2034674774160101</c:v>
                </c:pt>
                <c:pt idx="1">
                  <c:v>0.26932127574937736</c:v>
                </c:pt>
                <c:pt idx="2">
                  <c:v>0.28528044606387243</c:v>
                </c:pt>
                <c:pt idx="3">
                  <c:v>0.31648941392943242</c:v>
                </c:pt>
                <c:pt idx="4">
                  <c:v>0.32175364358339731</c:v>
                </c:pt>
                <c:pt idx="5">
                  <c:v>0.32576500890382482</c:v>
                </c:pt>
                <c:pt idx="6">
                  <c:v>0.32576500890382482</c:v>
                </c:pt>
                <c:pt idx="7">
                  <c:v>0.32947988525129945</c:v>
                </c:pt>
                <c:pt idx="8">
                  <c:v>0.33489178990385099</c:v>
                </c:pt>
                <c:pt idx="9">
                  <c:v>0.33552709879536813</c:v>
                </c:pt>
                <c:pt idx="10">
                  <c:v>0.33552709879536813</c:v>
                </c:pt>
                <c:pt idx="11">
                  <c:v>0.33858022324021037</c:v>
                </c:pt>
                <c:pt idx="12">
                  <c:v>0.33974713048695221</c:v>
                </c:pt>
                <c:pt idx="13">
                  <c:v>0.33974713048695221</c:v>
                </c:pt>
                <c:pt idx="14">
                  <c:v>0.34088492404743648</c:v>
                </c:pt>
                <c:pt idx="15">
                  <c:v>0.34199479487475182</c:v>
                </c:pt>
                <c:pt idx="16">
                  <c:v>0.34360968727815167</c:v>
                </c:pt>
                <c:pt idx="17">
                  <c:v>0.34567512648902277</c:v>
                </c:pt>
                <c:pt idx="18">
                  <c:v>0.34617661927822518</c:v>
                </c:pt>
                <c:pt idx="19">
                  <c:v>0.34716255153270065</c:v>
                </c:pt>
                <c:pt idx="20">
                  <c:v>0.34860039402456805</c:v>
                </c:pt>
                <c:pt idx="21">
                  <c:v>0.34953274937256262</c:v>
                </c:pt>
                <c:pt idx="22">
                  <c:v>0.34999134938378607</c:v>
                </c:pt>
                <c:pt idx="23">
                  <c:v>0.35044501839364511</c:v>
                </c:pt>
                <c:pt idx="24">
                  <c:v>0.35221210744287129</c:v>
                </c:pt>
                <c:pt idx="25">
                  <c:v>0.35553432925743367</c:v>
                </c:pt>
                <c:pt idx="26">
                  <c:v>0.35553432925743367</c:v>
                </c:pt>
                <c:pt idx="27">
                  <c:v>0.3559311547740554</c:v>
                </c:pt>
                <c:pt idx="28">
                  <c:v>0.35860378397648224</c:v>
                </c:pt>
                <c:pt idx="29">
                  <c:v>0.3593353455314926</c:v>
                </c:pt>
                <c:pt idx="30">
                  <c:v>0.36246674959368669</c:v>
                </c:pt>
                <c:pt idx="31">
                  <c:v>0.3641015380330796</c:v>
                </c:pt>
                <c:pt idx="32">
                  <c:v>0.36627655282583371</c:v>
                </c:pt>
                <c:pt idx="33">
                  <c:v>0.36627655282583371</c:v>
                </c:pt>
                <c:pt idx="34">
                  <c:v>0.36775510425473351</c:v>
                </c:pt>
                <c:pt idx="35">
                  <c:v>0.36775510425473351</c:v>
                </c:pt>
                <c:pt idx="36">
                  <c:v>0.3680437441351167</c:v>
                </c:pt>
                <c:pt idx="37">
                  <c:v>0.3694532723391234</c:v>
                </c:pt>
                <c:pt idx="38">
                  <c:v>0.37054220077205446</c:v>
                </c:pt>
                <c:pt idx="39">
                  <c:v>0.37080928482430259</c:v>
                </c:pt>
                <c:pt idx="40">
                  <c:v>0.37133745524229672</c:v>
                </c:pt>
                <c:pt idx="41">
                  <c:v>0.37159859124291861</c:v>
                </c:pt>
                <c:pt idx="42">
                  <c:v>0.37185779347929288</c:v>
                </c:pt>
                <c:pt idx="43">
                  <c:v>0.37262403316628084</c:v>
                </c:pt>
                <c:pt idx="44">
                  <c:v>0.37410738420848461</c:v>
                </c:pt>
                <c:pt idx="45">
                  <c:v>0.37482564492721754</c:v>
                </c:pt>
                <c:pt idx="46">
                  <c:v>0.37482564492721754</c:v>
                </c:pt>
                <c:pt idx="47">
                  <c:v>0.37482564492721754</c:v>
                </c:pt>
                <c:pt idx="48">
                  <c:v>0.3752961813319739</c:v>
                </c:pt>
                <c:pt idx="49">
                  <c:v>0.37576025208524272</c:v>
                </c:pt>
                <c:pt idx="50">
                  <c:v>0.37598990889744943</c:v>
                </c:pt>
                <c:pt idx="51">
                  <c:v>0.3766695791748691</c:v>
                </c:pt>
                <c:pt idx="52">
                  <c:v>0.37711511540482745</c:v>
                </c:pt>
                <c:pt idx="53">
                  <c:v>0.37711511540482745</c:v>
                </c:pt>
                <c:pt idx="54">
                  <c:v>0.37733566077679076</c:v>
                </c:pt>
                <c:pt idx="55">
                  <c:v>0.37777238751749409</c:v>
                </c:pt>
                <c:pt idx="56">
                  <c:v>0.37798860073002238</c:v>
                </c:pt>
                <c:pt idx="57">
                  <c:v>0.37862882573745554</c:v>
                </c:pt>
                <c:pt idx="58">
                  <c:v>0.37946338206555236</c:v>
                </c:pt>
                <c:pt idx="59">
                  <c:v>0.37946338206555236</c:v>
                </c:pt>
                <c:pt idx="60">
                  <c:v>0.38027697307717645</c:v>
                </c:pt>
                <c:pt idx="61">
                  <c:v>0.38027697307717645</c:v>
                </c:pt>
                <c:pt idx="62">
                  <c:v>0.38047719731968388</c:v>
                </c:pt>
                <c:pt idx="63">
                  <c:v>0.38067617845372803</c:v>
                </c:pt>
                <c:pt idx="64">
                  <c:v>0.38067617845372803</c:v>
                </c:pt>
                <c:pt idx="65">
                  <c:v>0.38145992547398777</c:v>
                </c:pt>
                <c:pt idx="66">
                  <c:v>0.38203529307248285</c:v>
                </c:pt>
                <c:pt idx="67">
                  <c:v>0.38278646353862061</c:v>
                </c:pt>
                <c:pt idx="68">
                  <c:v>0.3833382435914634</c:v>
                </c:pt>
                <c:pt idx="69">
                  <c:v>0.38441322064244593</c:v>
                </c:pt>
                <c:pt idx="70">
                  <c:v>0.38476337259432264</c:v>
                </c:pt>
                <c:pt idx="71">
                  <c:v>0.38493695949919943</c:v>
                </c:pt>
                <c:pt idx="72">
                  <c:v>0.38510956615485087</c:v>
                </c:pt>
                <c:pt idx="73">
                  <c:v>0.3854518753785745</c:v>
                </c:pt>
                <c:pt idx="74">
                  <c:v>0.3854518753785745</c:v>
                </c:pt>
                <c:pt idx="75">
                  <c:v>0.38579037239449399</c:v>
                </c:pt>
                <c:pt idx="76">
                  <c:v>0.38612512746997024</c:v>
                </c:pt>
                <c:pt idx="77">
                  <c:v>0.38726827538501318</c:v>
                </c:pt>
                <c:pt idx="78">
                  <c:v>0.38774511030914538</c:v>
                </c:pt>
                <c:pt idx="79">
                  <c:v>0.38790236723052768</c:v>
                </c:pt>
                <c:pt idx="80">
                  <c:v>0.38805879253271569</c:v>
                </c:pt>
                <c:pt idx="81">
                  <c:v>0.38898028334547058</c:v>
                </c:pt>
                <c:pt idx="82">
                  <c:v>0.3891310869913075</c:v>
                </c:pt>
                <c:pt idx="83">
                  <c:v>0.39001985063852457</c:v>
                </c:pt>
                <c:pt idx="84">
                  <c:v>0.39074015791645927</c:v>
                </c:pt>
                <c:pt idx="85">
                  <c:v>0.39130364346575164</c:v>
                </c:pt>
                <c:pt idx="86">
                  <c:v>0.39239813105883031</c:v>
                </c:pt>
                <c:pt idx="87">
                  <c:v>0.39446644601969827</c:v>
                </c:pt>
                <c:pt idx="88">
                  <c:v>0.39556496110513595</c:v>
                </c:pt>
                <c:pt idx="89">
                  <c:v>0.3956843181657636</c:v>
                </c:pt>
                <c:pt idx="90">
                  <c:v>0.39580314974237035</c:v>
                </c:pt>
                <c:pt idx="91">
                  <c:v>0.39580314974237035</c:v>
                </c:pt>
                <c:pt idx="92">
                  <c:v>0.39650531669932304</c:v>
                </c:pt>
                <c:pt idx="93">
                  <c:v>0.39684960902953476</c:v>
                </c:pt>
                <c:pt idx="94">
                  <c:v>0.39707668768518167</c:v>
                </c:pt>
                <c:pt idx="95">
                  <c:v>0.39730183904697969</c:v>
                </c:pt>
                <c:pt idx="96">
                  <c:v>0.39730183904697969</c:v>
                </c:pt>
                <c:pt idx="97">
                  <c:v>0.39752509023527571</c:v>
                </c:pt>
                <c:pt idx="98">
                  <c:v>0.39818370607114595</c:v>
                </c:pt>
                <c:pt idx="99">
                  <c:v>0.39829188476591504</c:v>
                </c:pt>
                <c:pt idx="100">
                  <c:v>0.39903681348273845</c:v>
                </c:pt>
                <c:pt idx="101">
                  <c:v>0.39914150723852826</c:v>
                </c:pt>
                <c:pt idx="102">
                  <c:v>0.39986269183115447</c:v>
                </c:pt>
                <c:pt idx="103">
                  <c:v>0.40016566914585511</c:v>
                </c:pt>
                <c:pt idx="104">
                  <c:v>0.40076102037988776</c:v>
                </c:pt>
                <c:pt idx="105">
                  <c:v>0.40228310340037765</c:v>
                </c:pt>
                <c:pt idx="106">
                  <c:v>0.4028307248322458</c:v>
                </c:pt>
                <c:pt idx="107">
                  <c:v>0.40292082452406008</c:v>
                </c:pt>
                <c:pt idx="108">
                  <c:v>0.40371715261626889</c:v>
                </c:pt>
                <c:pt idx="109">
                  <c:v>0.4043189939376704</c:v>
                </c:pt>
                <c:pt idx="110">
                  <c:v>0.40515349592872385</c:v>
                </c:pt>
                <c:pt idx="111">
                  <c:v>0.40572075992052831</c:v>
                </c:pt>
                <c:pt idx="112">
                  <c:v>0.40603891204293407</c:v>
                </c:pt>
                <c:pt idx="113">
                  <c:v>0.40711964921484201</c:v>
                </c:pt>
                <c:pt idx="114">
                  <c:v>0.40764174312186113</c:v>
                </c:pt>
                <c:pt idx="115">
                  <c:v>0.40764174312186113</c:v>
                </c:pt>
                <c:pt idx="116">
                  <c:v>0.40843893957007832</c:v>
                </c:pt>
                <c:pt idx="117">
                  <c:v>0.41067442418676403</c:v>
                </c:pt>
                <c:pt idx="118">
                  <c:v>0.41333966223710472</c:v>
                </c:pt>
                <c:pt idx="119">
                  <c:v>0.4140673411986236</c:v>
                </c:pt>
                <c:pt idx="120">
                  <c:v>0.41498214742896472</c:v>
                </c:pt>
                <c:pt idx="121">
                  <c:v>0.41605872181845766</c:v>
                </c:pt>
                <c:pt idx="122">
                  <c:v>0.41712824523351827</c:v>
                </c:pt>
                <c:pt idx="123">
                  <c:v>0.41731669167546892</c:v>
                </c:pt>
                <c:pt idx="124">
                  <c:v>0.42354197490305601</c:v>
                </c:pt>
                <c:pt idx="125">
                  <c:v>0.42374264221599484</c:v>
                </c:pt>
              </c:numCache>
            </c:numRef>
          </c:yVal>
          <c:smooth val="1"/>
          <c:extLst>
            <c:ext xmlns:c16="http://schemas.microsoft.com/office/drawing/2014/chart" uri="{C3380CC4-5D6E-409C-BE32-E72D297353CC}">
              <c16:uniqueId val="{00000001-FD4F-4C59-85D7-3A3D3621BFE2}"/>
            </c:ext>
          </c:extLst>
        </c:ser>
        <c:dLbls>
          <c:showLegendKey val="0"/>
          <c:showVal val="0"/>
          <c:showCatName val="0"/>
          <c:showSerName val="0"/>
          <c:showPercent val="0"/>
          <c:showBubbleSize val="0"/>
        </c:dLbls>
        <c:axId val="1799398432"/>
        <c:axId val="1814066560"/>
      </c:scatterChart>
      <c:valAx>
        <c:axId val="1799398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NHS Trust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4066560"/>
        <c:crosses val="autoZero"/>
        <c:crossBetween val="midCat"/>
      </c:valAx>
      <c:valAx>
        <c:axId val="181406656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Links!$B$7</c:f>
              <c:strCache>
                <c:ptCount val="1"/>
                <c:pt idx="0">
                  <c:v>Proportion of patients with stage IV disease</c:v>
                </c:pt>
              </c:strCache>
            </c:strRef>
          </c:tx>
          <c:layout>
            <c:manualLayout>
              <c:xMode val="edge"/>
              <c:yMode val="edge"/>
              <c:x val="2.1166666666666667E-2"/>
              <c:y val="0.123033333333333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398432"/>
        <c:crosses val="autoZero"/>
        <c:crossBetween val="midCat"/>
      </c:valAx>
      <c:spPr>
        <a:noFill/>
        <a:ln>
          <a:noFill/>
        </a:ln>
        <a:effectLst/>
      </c:spPr>
    </c:plotArea>
    <c:legend>
      <c:legendPos val="t"/>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3045884</xdr:colOff>
      <xdr:row>4</xdr:row>
      <xdr:rowOff>142874</xdr:rowOff>
    </xdr:to>
    <xdr:pic>
      <xdr:nvPicPr>
        <xdr:cNvPr id="2" name="Picture 1">
          <a:extLst>
            <a:ext uri="{FF2B5EF4-FFF2-40B4-BE49-F238E27FC236}">
              <a16:creationId xmlns:a16="http://schemas.microsoft.com/office/drawing/2014/main" id="{8D7F8CA4-1E24-4DBF-B53A-D04ABBBF9A5E}"/>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265084" cy="904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3045884</xdr:colOff>
      <xdr:row>4</xdr:row>
      <xdr:rowOff>142874</xdr:rowOff>
    </xdr:to>
    <xdr:pic>
      <xdr:nvPicPr>
        <xdr:cNvPr id="3" name="Picture 2">
          <a:extLst>
            <a:ext uri="{FF2B5EF4-FFF2-40B4-BE49-F238E27FC236}">
              <a16:creationId xmlns:a16="http://schemas.microsoft.com/office/drawing/2014/main" id="{70294796-13C4-4F93-87FA-B69EC96BA806}"/>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265084" cy="904874"/>
        </a:xfrm>
        <a:prstGeom prst="rect">
          <a:avLst/>
        </a:prstGeom>
      </xdr:spPr>
    </xdr:pic>
    <xdr:clientData/>
  </xdr:twoCellAnchor>
  <xdr:twoCellAnchor editAs="oneCell">
    <xdr:from>
      <xdr:col>0</xdr:col>
      <xdr:colOff>0</xdr:colOff>
      <xdr:row>0</xdr:row>
      <xdr:rowOff>0</xdr:rowOff>
    </xdr:from>
    <xdr:to>
      <xdr:col>2</xdr:col>
      <xdr:colOff>3045884</xdr:colOff>
      <xdr:row>4</xdr:row>
      <xdr:rowOff>142874</xdr:rowOff>
    </xdr:to>
    <xdr:pic>
      <xdr:nvPicPr>
        <xdr:cNvPr id="4" name="Picture 3">
          <a:extLst>
            <a:ext uri="{FF2B5EF4-FFF2-40B4-BE49-F238E27FC236}">
              <a16:creationId xmlns:a16="http://schemas.microsoft.com/office/drawing/2014/main" id="{38FF8E7E-087F-442B-9BBE-39083690C55C}"/>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265084" cy="904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443367</xdr:colOff>
      <xdr:row>4</xdr:row>
      <xdr:rowOff>121707</xdr:rowOff>
    </xdr:to>
    <xdr:pic>
      <xdr:nvPicPr>
        <xdr:cNvPr id="3" name="Picture 2">
          <a:extLst>
            <a:ext uri="{FF2B5EF4-FFF2-40B4-BE49-F238E27FC236}">
              <a16:creationId xmlns:a16="http://schemas.microsoft.com/office/drawing/2014/main" id="{668CE530-C0E6-4C89-BF0D-F030542EF7F6}"/>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263572" cy="910921"/>
        </a:xfrm>
        <a:prstGeom prst="rect">
          <a:avLst/>
        </a:prstGeom>
      </xdr:spPr>
    </xdr:pic>
    <xdr:clientData/>
  </xdr:twoCellAnchor>
  <xdr:twoCellAnchor editAs="oneCell">
    <xdr:from>
      <xdr:col>8</xdr:col>
      <xdr:colOff>488157</xdr:colOff>
      <xdr:row>25</xdr:row>
      <xdr:rowOff>181428</xdr:rowOff>
    </xdr:from>
    <xdr:to>
      <xdr:col>12</xdr:col>
      <xdr:colOff>613688</xdr:colOff>
      <xdr:row>44</xdr:row>
      <xdr:rowOff>161928</xdr:rowOff>
    </xdr:to>
    <xdr:graphicFrame macro="">
      <xdr:nvGraphicFramePr>
        <xdr:cNvPr id="2" name="Chart 1">
          <a:extLst>
            <a:ext uri="{FF2B5EF4-FFF2-40B4-BE49-F238E27FC236}">
              <a16:creationId xmlns:a16="http://schemas.microsoft.com/office/drawing/2014/main" id="{AC343A49-B4A8-4F60-802E-23FEEF8FD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2</xdr:col>
      <xdr:colOff>11905</xdr:colOff>
      <xdr:row>25</xdr:row>
      <xdr:rowOff>181428</xdr:rowOff>
    </xdr:from>
    <xdr:to>
      <xdr:col>5</xdr:col>
      <xdr:colOff>697030</xdr:colOff>
      <xdr:row>44</xdr:row>
      <xdr:rowOff>160111</xdr:rowOff>
    </xdr:to>
    <xdr:graphicFrame macro="">
      <xdr:nvGraphicFramePr>
        <xdr:cNvPr id="4" name="Chart 3">
          <a:extLst>
            <a:ext uri="{FF2B5EF4-FFF2-40B4-BE49-F238E27FC236}">
              <a16:creationId xmlns:a16="http://schemas.microsoft.com/office/drawing/2014/main" id="{B0E7C179-C696-4DF5-A31F-5168503D9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14</xdr:col>
      <xdr:colOff>0</xdr:colOff>
      <xdr:row>25</xdr:row>
      <xdr:rowOff>181428</xdr:rowOff>
    </xdr:from>
    <xdr:to>
      <xdr:col>18</xdr:col>
      <xdr:colOff>30281</xdr:colOff>
      <xdr:row>44</xdr:row>
      <xdr:rowOff>161928</xdr:rowOff>
    </xdr:to>
    <xdr:graphicFrame macro="">
      <xdr:nvGraphicFramePr>
        <xdr:cNvPr id="5" name="Chart 4">
          <a:extLst>
            <a:ext uri="{FF2B5EF4-FFF2-40B4-BE49-F238E27FC236}">
              <a16:creationId xmlns:a16="http://schemas.microsoft.com/office/drawing/2014/main" id="{4DE6CF66-B521-4D1F-8731-79E4E3B83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test%20v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la Barber" refreshedDate="44998.522515046294" createdVersion="8" refreshedVersion="8" minRefreshableVersion="3" recordCount="126" xr:uid="{00000000-000A-0000-FFFF-FFFF00000000}">
  <cacheSource type="worksheet">
    <worksheetSource ref="A1:D127" sheet="trust_data" r:id="rId2"/>
  </cacheSource>
  <cacheFields count="4">
    <cacheField name="trust_name" numFmtId="0">
      <sharedItems/>
    </cacheField>
    <cacheField name="trust_code" numFmtId="0">
      <sharedItems/>
    </cacheField>
    <cacheField name="alliance_name" numFmtId="0">
      <sharedItems count="21">
        <s v="West Yorkshire and Harrogate"/>
        <s v="Surrey and Sussex"/>
        <s v="North East London"/>
        <s v="South Yorkshire and Bassetlaw"/>
        <s v="East of England - South"/>
        <s v="Lancashire and South Cumbria"/>
        <s v="Greater Manchester"/>
        <s v="Thames Valley"/>
        <s v="East of England - North"/>
        <s v="RM Partners West London"/>
        <s v="East Midlands"/>
        <s v="Cheshire and Merseyside"/>
        <s v="Northern"/>
        <s v="Kent and Medway"/>
        <s v="Wessex"/>
        <s v="West Midlands"/>
        <s v="Somerset, Wiltshire, Avon &amp; Gloucestershire"/>
        <s v="South East London"/>
        <s v="Humber, Coast and Vale"/>
        <s v="North Central London"/>
        <s v="Peninsula"/>
      </sharedItems>
    </cacheField>
    <cacheField name="alliance_cod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s v="Airedale NHS Foundation Trust"/>
    <s v="RCF"/>
    <x v="0"/>
    <s v="A19"/>
  </r>
  <r>
    <s v="Ashford and St Peter's Hospitals NHS Foundation Trust"/>
    <s v="RTK"/>
    <x v="1"/>
    <s v="A14"/>
  </r>
  <r>
    <s v="Barking, Havering and Redbridge University Hospitals NHS Trust"/>
    <s v="RF4"/>
    <x v="2"/>
    <s v="A08b"/>
  </r>
  <r>
    <s v="Barnsley Hospital NHS Foundation Trust"/>
    <s v="RFF"/>
    <x v="3"/>
    <s v="A13"/>
  </r>
  <r>
    <s v="Barts Health NHS Trust"/>
    <s v="R1H"/>
    <x v="2"/>
    <s v="A08b"/>
  </r>
  <r>
    <s v="Bedfordshire Hospitals NHS Foundation Trust"/>
    <s v="RC9"/>
    <x v="4"/>
    <s v="A03b"/>
  </r>
  <r>
    <s v="Blackpool Teaching Hospitals NHS Foundation Trust"/>
    <s v="RXL"/>
    <x v="5"/>
    <s v="A07"/>
  </r>
  <r>
    <s v="Bolton NHS Foundation Trust"/>
    <s v="RMC"/>
    <x v="6"/>
    <s v="A04"/>
  </r>
  <r>
    <s v="Bradford Teaching Hospitals NHS Foundation Trust"/>
    <s v="RAE"/>
    <x v="0"/>
    <s v="A19"/>
  </r>
  <r>
    <s v="Buckinghamshire Healthcare NHS Trust"/>
    <s v="RXQ"/>
    <x v="7"/>
    <s v="A15"/>
  </r>
  <r>
    <s v="Calderdale And Huddersfield NHS Foundation Trust"/>
    <s v="RWY"/>
    <x v="0"/>
    <s v="A19"/>
  </r>
  <r>
    <s v="Cambridge University Hospitals NHS Foundation Trust"/>
    <s v="RGT"/>
    <x v="8"/>
    <s v="A03a"/>
  </r>
  <r>
    <s v="Chelsea and Westminster Hospital NHS Foundation Trust"/>
    <s v="RQM"/>
    <x v="9"/>
    <s v="A17"/>
  </r>
  <r>
    <s v="Chesterfield Royal Hospital NHS Foundation Trust"/>
    <s v="RFS"/>
    <x v="10"/>
    <s v="A02"/>
  </r>
  <r>
    <s v="Countess of Chester Hospital NHS Foundation Trust"/>
    <s v="RJR"/>
    <x v="11"/>
    <s v="A01"/>
  </r>
  <r>
    <s v="County Durham and Darlington NHS Foundation Trust"/>
    <s v="RXP"/>
    <x v="12"/>
    <s v="A09"/>
  </r>
  <r>
    <s v="Croydon Health Services NHS Trust"/>
    <s v="RJ6"/>
    <x v="9"/>
    <s v="A17"/>
  </r>
  <r>
    <s v="Dartford and Gravesham NHS Trust"/>
    <s v="RN7"/>
    <x v="13"/>
    <s v="A06"/>
  </r>
  <r>
    <s v="Doncaster and Bassetlaw Teaching Hospitals NHS Foundation Trust"/>
    <s v="RP5"/>
    <x v="3"/>
    <s v="A13"/>
  </r>
  <r>
    <s v="Dorset County Hospital NHS Foundation Trust"/>
    <s v="RBD"/>
    <x v="14"/>
    <s v="A16"/>
  </r>
  <r>
    <s v="East and North Hertfordshire NHS Trust"/>
    <s v="RWH"/>
    <x v="4"/>
    <s v="A03b"/>
  </r>
  <r>
    <s v="East Cheshire NHS Trust"/>
    <s v="RJN"/>
    <x v="11"/>
    <s v="A01"/>
  </r>
  <r>
    <s v="East Kent Hospitals University NHS Foundation Trust"/>
    <s v="RVV"/>
    <x v="13"/>
    <s v="A06"/>
  </r>
  <r>
    <s v="East Lancashire Hospitals NHS Trust"/>
    <s v="RXR"/>
    <x v="5"/>
    <s v="A07"/>
  </r>
  <r>
    <s v="East Suffolk and North Essex NHS Foundation Trust"/>
    <s v="RDE"/>
    <x v="8"/>
    <s v="A03a"/>
  </r>
  <r>
    <s v="East Sussex Healthcare NHS Trust"/>
    <s v="RXC"/>
    <x v="1"/>
    <s v="A14"/>
  </r>
  <r>
    <s v="Epsom And St Helier University Hospitals NHS Trust"/>
    <s v="RVR"/>
    <x v="9"/>
    <s v="A17"/>
  </r>
  <r>
    <s v="Frimley Health NHS Foundation Trust"/>
    <s v="RDU"/>
    <x v="1"/>
    <s v="A14"/>
  </r>
  <r>
    <s v="Gateshead Health NHS Foundation Trust"/>
    <s v="RR7"/>
    <x v="12"/>
    <s v="A09"/>
  </r>
  <r>
    <s v="George Eliot Hospital NHS Trust"/>
    <s v="RLT"/>
    <x v="15"/>
    <s v="A18"/>
  </r>
  <r>
    <s v="Gloucestershire Hospitals NHS Foundation Trust"/>
    <s v="RTE"/>
    <x v="16"/>
    <s v="A11"/>
  </r>
  <r>
    <s v="Great Western Hospitals NHS Foundation Trust"/>
    <s v="RN3"/>
    <x v="16"/>
    <s v="A11"/>
  </r>
  <r>
    <s v="Guy's and St Thomas' NHS Foundation Trust"/>
    <s v="RJ1"/>
    <x v="17"/>
    <s v="A12"/>
  </r>
  <r>
    <s v="Hampshire Hospitals NHS Foundation Trust"/>
    <s v="RN5"/>
    <x v="14"/>
    <s v="A16"/>
  </r>
  <r>
    <s v="Harrogate and District NHS Foundation Trust"/>
    <s v="RCD"/>
    <x v="18"/>
    <s v="A05"/>
  </r>
  <r>
    <s v="Homerton University Hospital NHS Foundation Trust"/>
    <s v="RQX"/>
    <x v="2"/>
    <s v="A08b"/>
  </r>
  <r>
    <s v="Hull University Teaching Hospitals NHS Trust"/>
    <s v="RWA"/>
    <x v="18"/>
    <s v="A05"/>
  </r>
  <r>
    <s v="Imperial College Healthcare NHS Trust"/>
    <s v="RYJ"/>
    <x v="9"/>
    <s v="A17"/>
  </r>
  <r>
    <s v="Isle of Wight NHS Trust"/>
    <s v="R1F"/>
    <x v="14"/>
    <s v="A16"/>
  </r>
  <r>
    <s v="James Paget University Hospitals NHS Foundation Trust"/>
    <s v="RGP"/>
    <x v="8"/>
    <s v="A03a"/>
  </r>
  <r>
    <s v="Kettering General Hospital NHS Foundation Trust"/>
    <s v="RNQ"/>
    <x v="10"/>
    <s v="A02"/>
  </r>
  <r>
    <s v="King's College Hospital NHS Foundation Trust"/>
    <s v="RJZ"/>
    <x v="17"/>
    <s v="A12"/>
  </r>
  <r>
    <s v="Kingston Hospital NHS Foundation Trust"/>
    <s v="RAX"/>
    <x v="9"/>
    <s v="A17"/>
  </r>
  <r>
    <s v="Lancashire Teaching Hospitals NHS Foundation Trust"/>
    <s v="RXN"/>
    <x v="5"/>
    <s v="A07"/>
  </r>
  <r>
    <s v="Leeds Teaching Hospitals NHS Trust"/>
    <s v="RR8"/>
    <x v="0"/>
    <s v="A19"/>
  </r>
  <r>
    <s v="Lewisham and Greenwich NHS Trust"/>
    <s v="RJ2"/>
    <x v="17"/>
    <s v="A12"/>
  </r>
  <r>
    <s v="Liverpool Heart and Chest Hospital NHS Foundation Trust"/>
    <s v="RBQ"/>
    <x v="11"/>
    <s v="A01"/>
  </r>
  <r>
    <s v="Liverpool University Hospitals NHS Foundation Trust"/>
    <s v="REM"/>
    <x v="11"/>
    <s v="A01"/>
  </r>
  <r>
    <s v="London North West Healthcare NHS Trust"/>
    <s v="R1K"/>
    <x v="9"/>
    <s v="A17"/>
  </r>
  <r>
    <s v="Maidstone and Tunbridge Wells NHS Trust"/>
    <s v="RWF"/>
    <x v="13"/>
    <s v="A06"/>
  </r>
  <r>
    <s v="Manchester University NHS Foundation Trust"/>
    <s v="R0A"/>
    <x v="6"/>
    <s v="A04"/>
  </r>
  <r>
    <s v="Medway NHS Foundation Trust"/>
    <s v="RPA"/>
    <x v="13"/>
    <s v="A06"/>
  </r>
  <r>
    <s v="Mid and South Essex NHS Foundation Trust"/>
    <s v="RAJ"/>
    <x v="4"/>
    <s v="A03b"/>
  </r>
  <r>
    <s v="Mid Cheshire Hospitals NHS Foundation Trust"/>
    <s v="RBT"/>
    <x v="11"/>
    <s v="A01"/>
  </r>
  <r>
    <s v="Mid Yorkshire Hospitals NHS Trust"/>
    <s v="RXF"/>
    <x v="0"/>
    <s v="A19"/>
  </r>
  <r>
    <s v="Milton Keynes University Hospital NHS Foundation Trust"/>
    <s v="RD8"/>
    <x v="4"/>
    <s v="A03b"/>
  </r>
  <r>
    <s v="Norfolk and Norwich University Hospitals NHS Foundation Trust"/>
    <s v="RM1"/>
    <x v="8"/>
    <s v="A03a"/>
  </r>
  <r>
    <s v="North Bristol NHS Trust"/>
    <s v="RVJ"/>
    <x v="16"/>
    <s v="A11"/>
  </r>
  <r>
    <s v="North Cumbria Integrated Care NHS Foundation Trust"/>
    <s v="RNN"/>
    <x v="12"/>
    <s v="A09"/>
  </r>
  <r>
    <s v="North Middlesex University Hospital NHS Trust"/>
    <s v="RAP"/>
    <x v="19"/>
    <s v="A08a"/>
  </r>
  <r>
    <s v="North Tees And Hartlepool NHS Foundation Trust"/>
    <s v="RVW"/>
    <x v="12"/>
    <s v="A09"/>
  </r>
  <r>
    <s v="North West Anglia NHS Foundation Trust"/>
    <s v="RGN"/>
    <x v="8"/>
    <s v="A03a"/>
  </r>
  <r>
    <s v="Northampton General Hospital NHS Trust"/>
    <s v="RNS"/>
    <x v="10"/>
    <s v="A02"/>
  </r>
  <r>
    <s v="Northern Lincolnshire and Goole NHS Foundation Trust"/>
    <s v="RJL"/>
    <x v="18"/>
    <s v="A05"/>
  </r>
  <r>
    <s v="Northumbria Healthcare NHS Foundation Trust"/>
    <s v="RTF"/>
    <x v="12"/>
    <s v="A09"/>
  </r>
  <r>
    <s v="Nottingham University Hospitals NHS Trust"/>
    <s v="RX1"/>
    <x v="10"/>
    <s v="A02"/>
  </r>
  <r>
    <s v="Oxford University Hospitals NHS Foundation Trust"/>
    <s v="RTH"/>
    <x v="7"/>
    <s v="A15"/>
  </r>
  <r>
    <s v="Papworth Hospital NHS Foundation Trust"/>
    <s v="RGM"/>
    <x v="8"/>
    <s v="A03a"/>
  </r>
  <r>
    <s v="Plymouth Hospitals NHS Trust"/>
    <s v="RK9"/>
    <x v="20"/>
    <s v="A10"/>
  </r>
  <r>
    <s v="Portsmouth Hospitals NHS Trust"/>
    <s v="RHU"/>
    <x v="14"/>
    <s v="A16"/>
  </r>
  <r>
    <s v="Royal Berkshire NHS Foundation Trust"/>
    <s v="RHW"/>
    <x v="7"/>
    <s v="A15"/>
  </r>
  <r>
    <s v="Royal Cornwall Hospitals NHS Trust"/>
    <s v="REF"/>
    <x v="20"/>
    <s v="A10"/>
  </r>
  <r>
    <s v="Royal Devon and Exeter NHS Foundation Trust"/>
    <s v="RH8"/>
    <x v="20"/>
    <s v="A10"/>
  </r>
  <r>
    <s v="Royal Free London NHS Foundation Trust"/>
    <s v="RAL"/>
    <x v="19"/>
    <s v="A08a"/>
  </r>
  <r>
    <s v="Royal Surrey County Hospital NHS Foundation Trust"/>
    <s v="RA2"/>
    <x v="1"/>
    <s v="A14"/>
  </r>
  <r>
    <s v="Royal United Hospital Bath NHS Foundation Trust"/>
    <s v="RD1"/>
    <x v="16"/>
    <s v="A11"/>
  </r>
  <r>
    <s v="Salford Royal NHS Foundation Trust"/>
    <s v="RM3"/>
    <x v="6"/>
    <s v="A04"/>
  </r>
  <r>
    <s v="Salisbury NHS Foundation Trust"/>
    <s v="RNZ"/>
    <x v="16"/>
    <s v="A11"/>
  </r>
  <r>
    <s v="Sandwell and West Birmingham Hospitals NHS Trust"/>
    <s v="RXK"/>
    <x v="15"/>
    <s v="A18"/>
  </r>
  <r>
    <s v="Sheffield Teaching Hospitals NHS Foundation Trust"/>
    <s v="RHQ"/>
    <x v="3"/>
    <s v="A13"/>
  </r>
  <r>
    <s v="Sherwood Forest Hospitals NHS Foundation Trust"/>
    <s v="RK5"/>
    <x v="10"/>
    <s v="A02"/>
  </r>
  <r>
    <s v="Shrewsbury and Telford Hospital NHS Trust"/>
    <s v="RXW"/>
    <x v="15"/>
    <s v="A18"/>
  </r>
  <r>
    <s v="Somerset NHS Foundation Trust"/>
    <s v="RH5"/>
    <x v="16"/>
    <s v="A11"/>
  </r>
  <r>
    <s v="South Tees Hospitals NHS Foundation Trust"/>
    <s v="RTR"/>
    <x v="12"/>
    <s v="A09"/>
  </r>
  <r>
    <s v="South Tyneside and Sunderland NHS Foundation Trust"/>
    <s v="R0B"/>
    <x v="12"/>
    <s v="A09"/>
  </r>
  <r>
    <s v="South Warwickshire NHS Foundation Trust"/>
    <s v="RJC"/>
    <x v="15"/>
    <s v="A18"/>
  </r>
  <r>
    <s v="Southport and Ormskirk Hospital NHS Trust"/>
    <s v="RVY"/>
    <x v="11"/>
    <s v="A01"/>
  </r>
  <r>
    <s v="St George's University Hospitals NHS Foundation Trust"/>
    <s v="RJ7"/>
    <x v="9"/>
    <s v="A17"/>
  </r>
  <r>
    <s v="St Helens and Knowsley Hospital Services NHS Trust"/>
    <s v="RBN"/>
    <x v="11"/>
    <s v="A01"/>
  </r>
  <r>
    <s v="Stockport NHS Foundation Trust"/>
    <s v="RWJ"/>
    <x v="6"/>
    <s v="A04"/>
  </r>
  <r>
    <s v="Surrey and Sussex Healthcare NHS Trust"/>
    <s v="RTP"/>
    <x v="1"/>
    <s v="A14"/>
  </r>
  <r>
    <s v="Tameside and Glossop Integrated Care NHS Foundation Trust"/>
    <s v="RMP"/>
    <x v="6"/>
    <s v="A04"/>
  </r>
  <r>
    <s v="The Christie NHS Foundation Trust"/>
    <s v="RBV"/>
    <x v="6"/>
    <s v="A04"/>
  </r>
  <r>
    <s v="The Clatterbridge Cancer Centre NHS Foundation Trust"/>
    <s v="REN"/>
    <x v="11"/>
    <s v="A01"/>
  </r>
  <r>
    <s v="The Dudley Group NHS Foundation Trust"/>
    <s v="RNA"/>
    <x v="15"/>
    <s v="A18"/>
  </r>
  <r>
    <s v="The Hillingdon Hospitals NHS Foundation Trust"/>
    <s v="RAS"/>
    <x v="9"/>
    <s v="A17"/>
  </r>
  <r>
    <s v="The Newcastle upon Tyne Hospitals NHS Foundation Trust"/>
    <s v="RTD"/>
    <x v="12"/>
    <s v="A09"/>
  </r>
  <r>
    <s v="The Princess Alexandra Hospital NHS Trust"/>
    <s v="RQW"/>
    <x v="4"/>
    <s v="A03b"/>
  </r>
  <r>
    <s v="The Queen Elizabeth Hospital King's Lynn NHS Foundation Trust"/>
    <s v="RCX"/>
    <x v="8"/>
    <s v="A03a"/>
  </r>
  <r>
    <s v="The Rotherham NHS Foundation Trust"/>
    <s v="RFR"/>
    <x v="3"/>
    <s v="A13"/>
  </r>
  <r>
    <s v="The Royal Marsden NHS Foundation Trust"/>
    <s v="RPY"/>
    <x v="9"/>
    <s v="A17"/>
  </r>
  <r>
    <s v="The Royal Wolverhampton NHS Trust"/>
    <s v="RL4"/>
    <x v="15"/>
    <s v="A18"/>
  </r>
  <r>
    <s v="The Whittington Health NHS Trust"/>
    <s v="RKE"/>
    <x v="19"/>
    <s v="A08a"/>
  </r>
  <r>
    <s v="Torbay and South Devon NHS Foundation Trust"/>
    <s v="RA9"/>
    <x v="20"/>
    <s v="A10"/>
  </r>
  <r>
    <s v="United Lincolnshire Hospitals NHS Trust"/>
    <s v="RWD"/>
    <x v="10"/>
    <s v="A02"/>
  </r>
  <r>
    <s v="University College London Hospitals NHS Foundation Trust"/>
    <s v="RRV"/>
    <x v="19"/>
    <s v="A08a"/>
  </r>
  <r>
    <s v="University Hospital Southampton NHS Foundation Trust"/>
    <s v="RHM"/>
    <x v="14"/>
    <s v="A16"/>
  </r>
  <r>
    <s v="University Hospitals Birmingham NHS Foundation Trust"/>
    <s v="RRK"/>
    <x v="15"/>
    <s v="A18"/>
  </r>
  <r>
    <s v="University Hospitals Bristol and Weston NHS Foundation Trust"/>
    <s v="RA7"/>
    <x v="16"/>
    <s v="A11"/>
  </r>
  <r>
    <s v="University Hospitals Coventry and Warwickshire NHS Trust"/>
    <s v="RKB"/>
    <x v="15"/>
    <s v="A18"/>
  </r>
  <r>
    <s v="University Hospitals Dorset NHS Foundation Trust"/>
    <s v="R0D"/>
    <x v="14"/>
    <s v="A16"/>
  </r>
  <r>
    <s v="University Hospitals of Derby and Burton NHS Foundation Trust"/>
    <s v="RTG"/>
    <x v="10"/>
    <s v="A02"/>
  </r>
  <r>
    <s v="University Hospitals of Leicester NHS Trust"/>
    <s v="RWE"/>
    <x v="10"/>
    <s v="A02"/>
  </r>
  <r>
    <s v="University Hospitals of Morecambe Bay NHS Foundation Trust"/>
    <s v="RTX"/>
    <x v="5"/>
    <s v="A07"/>
  </r>
  <r>
    <s v="University Hospitals of North Midlands NHS Trust"/>
    <s v="RJE"/>
    <x v="15"/>
    <s v="A18"/>
  </r>
  <r>
    <s v="Walsall Healthcare NHS Trust"/>
    <s v="RBK"/>
    <x v="15"/>
    <s v="A18"/>
  </r>
  <r>
    <s v="Warrington and Halton Hospitals NHS Foundation Trust"/>
    <s v="RWW"/>
    <x v="11"/>
    <s v="A01"/>
  </r>
  <r>
    <s v="West Hertfordshire Hospitals NHS Trust"/>
    <s v="RWG"/>
    <x v="4"/>
    <s v="A03b"/>
  </r>
  <r>
    <s v="West Suffolk NHS Foundation Trust"/>
    <s v="RGR"/>
    <x v="8"/>
    <s v="A03a"/>
  </r>
  <r>
    <s v="Western Sussex Hospitals NHS Foundation Trust"/>
    <s v="RYR"/>
    <x v="1"/>
    <s v="A14"/>
  </r>
  <r>
    <s v="Wirral University Teaching Hospital NHS Foundation Trust"/>
    <s v="RBL"/>
    <x v="11"/>
    <s v="A01"/>
  </r>
  <r>
    <s v="Worcestershire Acute Hospitals NHS Trust"/>
    <s v="RWP"/>
    <x v="15"/>
    <s v="A18"/>
  </r>
  <r>
    <s v="Wrightington, Wigan and Leigh NHS Foundation Trust"/>
    <s v="RRF"/>
    <x v="6"/>
    <s v="A04"/>
  </r>
  <r>
    <s v="Wye Valley NHS Trust"/>
    <s v="RLQ"/>
    <x v="15"/>
    <s v="A18"/>
  </r>
  <r>
    <s v="Yeovil District Hospital NHS Foundation Trust"/>
    <s v="RA4"/>
    <x v="16"/>
    <s v="A11"/>
  </r>
  <r>
    <s v="York Teaching Hospital NHS Foundation Trust"/>
    <s v="RCB"/>
    <x v="18"/>
    <s v="A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ncer Aliance">
  <location ref="A3:B25" firstHeaderRow="1" firstDataRow="1" firstDataCol="1"/>
  <pivotFields count="4">
    <pivotField dataField="1" showAll="0"/>
    <pivotField showAll="0"/>
    <pivotField axis="axisRow" showAll="0">
      <items count="22">
        <item x="11"/>
        <item x="10"/>
        <item x="8"/>
        <item x="4"/>
        <item x="6"/>
        <item x="18"/>
        <item x="13"/>
        <item x="5"/>
        <item x="19"/>
        <item x="2"/>
        <item x="12"/>
        <item x="20"/>
        <item n="RM Partners" x="9"/>
        <item x="16"/>
        <item x="17"/>
        <item x="3"/>
        <item x="1"/>
        <item x="7"/>
        <item x="14"/>
        <item x="15"/>
        <item x="0"/>
        <item t="default"/>
      </items>
    </pivotField>
    <pivotField showAll="0"/>
  </pivotFields>
  <rowFields count="1">
    <field x="2"/>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Count of trust_name" fld="0" subtotal="count" baseField="0" baseItem="0"/>
  </dataFields>
  <formats count="2">
    <format dxfId="70">
      <pivotArea collapsedLevelsAreSubtotals="1" fieldPosition="0">
        <references count="1">
          <reference field="2" count="1">
            <x v="19"/>
          </reference>
        </references>
      </pivotArea>
    </format>
    <format dxfId="69">
      <pivotArea dataOnly="0" labelOnly="1" fieldPosition="0">
        <references count="1">
          <reference field="2"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F2" totalsRowShown="0" dataDxfId="68" headerRowCellStyle="Normal 2" dataCellStyle="Comma">
  <autoFilter ref="A1:BF2" xr:uid="{00000000-0009-0000-0100-000001000000}"/>
  <tableColumns count="58">
    <tableColumn id="1" xr3:uid="{00000000-0010-0000-0000-000001000000}" name="code" dataDxfId="67" dataCellStyle="Comma"/>
    <tableColumn id="2" xr3:uid="{00000000-0010-0000-0000-000002000000}" name="name" dataDxfId="66" dataCellStyle="Comma"/>
    <tableColumn id="3" xr3:uid="{00000000-0010-0000-0000-000003000000}" name="current_ex" dataDxfId="65" dataCellStyle="Comma"/>
    <tableColumn id="4" xr3:uid="{00000000-0010-0000-0000-000004000000}" name="never" dataDxfId="64" dataCellStyle="Comma"/>
    <tableColumn id="5" xr3:uid="{00000000-0010-0000-0000-000005000000}" name="smok_unknown" dataDxfId="63" dataCellStyle="Comma"/>
    <tableColumn id="6" xr3:uid="{00000000-0010-0000-0000-000006000000}" name="p_current_ex" dataDxfId="62" dataCellStyle="Comma"/>
    <tableColumn id="7" xr3:uid="{00000000-0010-0000-0000-000007000000}" name="p_never" dataDxfId="61" dataCellStyle="Comma"/>
    <tableColumn id="8" xr3:uid="{00000000-0010-0000-0000-000008000000}" name="white" dataDxfId="60" dataCellStyle="Comma"/>
    <tableColumn id="9" xr3:uid="{00000000-0010-0000-0000-000009000000}" name="mixed" dataDxfId="59" dataCellStyle="Comma"/>
    <tableColumn id="10" xr3:uid="{00000000-0010-0000-0000-00000A000000}" name="asian" dataDxfId="58" dataCellStyle="Comma"/>
    <tableColumn id="11" xr3:uid="{00000000-0010-0000-0000-00000B000000}" name="black" dataDxfId="57" dataCellStyle="Comma"/>
    <tableColumn id="12" xr3:uid="{00000000-0010-0000-0000-00000C000000}" name="other" dataDxfId="56" dataCellStyle="Comma"/>
    <tableColumn id="13" xr3:uid="{00000000-0010-0000-0000-00000D000000}" name="ethc_unknown" dataDxfId="55" dataCellStyle="Comma"/>
    <tableColumn id="14" xr3:uid="{00000000-0010-0000-0000-00000E000000}" name="p_white" dataDxfId="54" dataCellStyle="Comma"/>
    <tableColumn id="15" xr3:uid="{00000000-0010-0000-0000-00000F000000}" name="p_mixed" dataDxfId="53" dataCellStyle="Comma"/>
    <tableColumn id="16" xr3:uid="{00000000-0010-0000-0000-000010000000}" name="p_asian" dataDxfId="52" dataCellStyle="Comma"/>
    <tableColumn id="17" xr3:uid="{00000000-0010-0000-0000-000011000000}" name="p_black" dataDxfId="51" dataCellStyle="Comma"/>
    <tableColumn id="18" xr3:uid="{00000000-0010-0000-0000-000012000000}" name="p_other" dataDxfId="50" dataCellStyle="Comma"/>
    <tableColumn id="19" xr3:uid="{00000000-0010-0000-0000-000013000000}" name="imdleast" dataDxfId="49" dataCellStyle="Comma"/>
    <tableColumn id="20" xr3:uid="{00000000-0010-0000-0000-000014000000}" name="imd2" dataDxfId="48" dataCellStyle="Comma"/>
    <tableColumn id="21" xr3:uid="{00000000-0010-0000-0000-000015000000}" name="imd3" dataDxfId="47" dataCellStyle="Comma"/>
    <tableColumn id="22" xr3:uid="{00000000-0010-0000-0000-000016000000}" name="imd4" dataDxfId="46" dataCellStyle="Comma"/>
    <tableColumn id="23" xr3:uid="{00000000-0010-0000-0000-000017000000}" name="imdmost" dataDxfId="45" dataCellStyle="Comma"/>
    <tableColumn id="24" xr3:uid="{00000000-0010-0000-0000-000018000000}" name="p_imdleast" dataDxfId="44" dataCellStyle="Comma"/>
    <tableColumn id="25" xr3:uid="{00000000-0010-0000-0000-000019000000}" name="p_imd2" dataDxfId="43" dataCellStyle="Comma"/>
    <tableColumn id="26" xr3:uid="{00000000-0010-0000-0000-00001A000000}" name="p_imd3" dataDxfId="42" dataCellStyle="Comma"/>
    <tableColumn id="27" xr3:uid="{00000000-0010-0000-0000-00001B000000}" name="p_imd4" dataDxfId="41" dataCellStyle="Comma"/>
    <tableColumn id="28" xr3:uid="{00000000-0010-0000-0000-00001C000000}" name="p_imdmost" dataDxfId="40" dataCellStyle="Comma"/>
    <tableColumn id="29" xr3:uid="{00000000-0010-0000-0000-00001D000000}" name="sclc" dataDxfId="39" dataCellStyle="Comma"/>
    <tableColumn id="30" xr3:uid="{00000000-0010-0000-0000-00001E000000}" name="carcinoid" dataDxfId="38" dataCellStyle="Comma"/>
    <tableColumn id="31" xr3:uid="{00000000-0010-0000-0000-00001F000000}" name="nsclc" dataDxfId="37" dataCellStyle="Comma"/>
    <tableColumn id="32" xr3:uid="{00000000-0010-0000-0000-000020000000}" name="not_assessed" dataDxfId="36" dataCellStyle="Comma"/>
    <tableColumn id="33" xr3:uid="{00000000-0010-0000-0000-000021000000}" name="p_sclc" dataDxfId="35" dataCellStyle="Comma"/>
    <tableColumn id="34" xr3:uid="{00000000-0010-0000-0000-000022000000}" name="p_carc" dataDxfId="34" dataCellStyle="Comma"/>
    <tableColumn id="35" xr3:uid="{00000000-0010-0000-0000-000023000000}" name="p_nsclc" dataDxfId="33" dataCellStyle="Comma"/>
    <tableColumn id="36" xr3:uid="{00000000-0010-0000-0000-000024000000}" name="p_unknown" dataDxfId="32" dataCellStyle="Comma"/>
    <tableColumn id="37" xr3:uid="{00000000-0010-0000-0000-000025000000}" name="s1" dataDxfId="31" dataCellStyle="Comma"/>
    <tableColumn id="38" xr3:uid="{00000000-0010-0000-0000-000026000000}" name="s2" dataDxfId="30" dataCellStyle="Comma"/>
    <tableColumn id="39" xr3:uid="{00000000-0010-0000-0000-000027000000}" name="s3a" dataDxfId="29" dataCellStyle="Comma"/>
    <tableColumn id="40" xr3:uid="{00000000-0010-0000-0000-000028000000}" name="s3b" dataDxfId="28" dataCellStyle="Comma"/>
    <tableColumn id="41" xr3:uid="{00000000-0010-0000-0000-000029000000}" name="s4" dataDxfId="27" dataCellStyle="Comma"/>
    <tableColumn id="42" xr3:uid="{00000000-0010-0000-0000-00002A000000}" name="s_unknown" dataDxfId="26" dataCellStyle="Comma"/>
    <tableColumn id="43" xr3:uid="{00000000-0010-0000-0000-00002B000000}" name="p_s1" dataDxfId="25" dataCellStyle="Comma"/>
    <tableColumn id="44" xr3:uid="{00000000-0010-0000-0000-00002C000000}" name="p_s2" dataDxfId="24" dataCellStyle="Comma"/>
    <tableColumn id="45" xr3:uid="{00000000-0010-0000-0000-00002D000000}" name="p_s3a" dataDxfId="23" dataCellStyle="Comma"/>
    <tableColumn id="46" xr3:uid="{00000000-0010-0000-0000-00002E000000}" name="p_s3b" dataDxfId="22" dataCellStyle="Comma"/>
    <tableColumn id="47" xr3:uid="{00000000-0010-0000-0000-00002F000000}" name="p_s4" dataDxfId="21" dataCellStyle="Comma"/>
    <tableColumn id="48" xr3:uid="{00000000-0010-0000-0000-000030000000}" name="ps0" dataDxfId="20" dataCellStyle="Comma"/>
    <tableColumn id="49" xr3:uid="{00000000-0010-0000-0000-000031000000}" name="ps1" dataDxfId="19" dataCellStyle="Comma"/>
    <tableColumn id="50" xr3:uid="{00000000-0010-0000-0000-000032000000}" name="ps2" dataDxfId="18" dataCellStyle="Comma"/>
    <tableColumn id="51" xr3:uid="{00000000-0010-0000-0000-000033000000}" name="ps3" dataDxfId="17" dataCellStyle="Comma"/>
    <tableColumn id="52" xr3:uid="{00000000-0010-0000-0000-000034000000}" name="ps4" dataDxfId="16" dataCellStyle="Comma"/>
    <tableColumn id="53" xr3:uid="{00000000-0010-0000-0000-000035000000}" name="ps_unknown" dataDxfId="15" dataCellStyle="Comma"/>
    <tableColumn id="54" xr3:uid="{00000000-0010-0000-0000-000036000000}" name="p_ps0" dataDxfId="14" dataCellStyle="Comma"/>
    <tableColumn id="55" xr3:uid="{00000000-0010-0000-0000-000037000000}" name="p_ps1" dataDxfId="13" dataCellStyle="Comma"/>
    <tableColumn id="56" xr3:uid="{00000000-0010-0000-0000-000038000000}" name="p_ps2" dataDxfId="12" dataCellStyle="Comma"/>
    <tableColumn id="57" xr3:uid="{00000000-0010-0000-0000-000039000000}" name="p_ps3" dataDxfId="11" dataCellStyle="Comma"/>
    <tableColumn id="58" xr3:uid="{00000000-0010-0000-0000-00003A000000}" name="p_ps4" dataDxfId="10" dataCellStyle="Comma"/>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B7:C32"/>
  <sheetViews>
    <sheetView showGridLines="0" showRowColHeaders="0" zoomScaleNormal="100" workbookViewId="0"/>
  </sheetViews>
  <sheetFormatPr defaultRowHeight="15" x14ac:dyDescent="0.25"/>
  <cols>
    <col min="3" max="3" width="108.85546875" customWidth="1"/>
  </cols>
  <sheetData>
    <row r="7" spans="3:3" ht="30" x14ac:dyDescent="0.25">
      <c r="C7" s="5" t="s">
        <v>625</v>
      </c>
    </row>
    <row r="9" spans="3:3" ht="45" x14ac:dyDescent="0.25">
      <c r="C9" s="5" t="s">
        <v>626</v>
      </c>
    </row>
    <row r="11" spans="3:3" ht="90" x14ac:dyDescent="0.25">
      <c r="C11" s="5" t="s">
        <v>627</v>
      </c>
    </row>
    <row r="13" spans="3:3" ht="121.5" customHeight="1" x14ac:dyDescent="0.25">
      <c r="C13" s="5" t="s">
        <v>628</v>
      </c>
    </row>
    <row r="15" spans="3:3" ht="75" x14ac:dyDescent="0.25">
      <c r="C15" s="5" t="s">
        <v>630</v>
      </c>
    </row>
    <row r="17" spans="2:3" ht="45" x14ac:dyDescent="0.25">
      <c r="C17" s="5" t="s">
        <v>629</v>
      </c>
    </row>
    <row r="19" spans="2:3" x14ac:dyDescent="0.25">
      <c r="B19" s="19" t="s">
        <v>371</v>
      </c>
      <c r="C19" s="5"/>
    </row>
    <row r="20" spans="2:3" x14ac:dyDescent="0.25">
      <c r="C20" s="5"/>
    </row>
    <row r="21" spans="2:3" ht="30" x14ac:dyDescent="0.25">
      <c r="B21" s="18"/>
      <c r="C21" s="5" t="s">
        <v>614</v>
      </c>
    </row>
    <row r="23" spans="2:3" ht="15.75" thickBot="1" x14ac:dyDescent="0.3">
      <c r="B23" s="6" t="s">
        <v>349</v>
      </c>
      <c r="C23" s="6" t="s">
        <v>350</v>
      </c>
    </row>
    <row r="24" spans="2:3" x14ac:dyDescent="0.25">
      <c r="B24" t="s">
        <v>459</v>
      </c>
      <c r="C24" t="s">
        <v>460</v>
      </c>
    </row>
    <row r="25" spans="2:3" x14ac:dyDescent="0.25">
      <c r="B25" t="s">
        <v>351</v>
      </c>
      <c r="C25" t="s">
        <v>352</v>
      </c>
    </row>
    <row r="26" spans="2:3" x14ac:dyDescent="0.25">
      <c r="B26" t="s">
        <v>353</v>
      </c>
      <c r="C26" t="s">
        <v>354</v>
      </c>
    </row>
    <row r="27" spans="2:3" x14ac:dyDescent="0.25">
      <c r="B27" t="s">
        <v>361</v>
      </c>
      <c r="C27" t="s">
        <v>362</v>
      </c>
    </row>
    <row r="28" spans="2:3" x14ac:dyDescent="0.25">
      <c r="B28" t="s">
        <v>359</v>
      </c>
      <c r="C28" t="s">
        <v>360</v>
      </c>
    </row>
    <row r="29" spans="2:3" x14ac:dyDescent="0.25">
      <c r="B29" t="s">
        <v>355</v>
      </c>
      <c r="C29" t="s">
        <v>356</v>
      </c>
    </row>
    <row r="30" spans="2:3" x14ac:dyDescent="0.25">
      <c r="B30" t="s">
        <v>363</v>
      </c>
      <c r="C30" t="s">
        <v>364</v>
      </c>
    </row>
    <row r="31" spans="2:3" x14ac:dyDescent="0.25">
      <c r="B31" t="s">
        <v>357</v>
      </c>
      <c r="C31" t="s">
        <v>358</v>
      </c>
    </row>
    <row r="32" spans="2:3" ht="15.75" thickBot="1" x14ac:dyDescent="0.3">
      <c r="B32" s="7" t="s">
        <v>458</v>
      </c>
      <c r="C32" s="7" t="s">
        <v>461</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sheetPr>
  <dimension ref="A1:W47"/>
  <sheetViews>
    <sheetView workbookViewId="0">
      <selection activeCell="E17" sqref="E17"/>
    </sheetView>
  </sheetViews>
  <sheetFormatPr defaultRowHeight="15" x14ac:dyDescent="0.25"/>
  <cols>
    <col min="1" max="1" width="41.42578125" bestFit="1" customWidth="1"/>
    <col min="2" max="2" width="17.7109375" bestFit="1" customWidth="1"/>
    <col min="3" max="3" width="13.28515625" bestFit="1" customWidth="1"/>
    <col min="4" max="4" width="5" bestFit="1" customWidth="1"/>
    <col min="5" max="5" width="6.5703125" customWidth="1"/>
    <col min="6" max="10" width="9.5703125" bestFit="1" customWidth="1"/>
    <col min="11" max="11" width="10.5703125" bestFit="1" customWidth="1"/>
    <col min="12" max="12" width="11.28515625" bestFit="1" customWidth="1"/>
    <col min="13" max="14" width="9.5703125" bestFit="1" customWidth="1"/>
    <col min="15" max="15" width="9.5703125" customWidth="1"/>
    <col min="16" max="17" width="12.85546875" bestFit="1" customWidth="1"/>
    <col min="19" max="19" width="18" style="4" bestFit="1" customWidth="1"/>
    <col min="20" max="20" width="16.85546875" bestFit="1" customWidth="1"/>
  </cols>
  <sheetData>
    <row r="1" spans="1:23" x14ac:dyDescent="0.25">
      <c r="A1" t="s">
        <v>2</v>
      </c>
      <c r="B1" t="s">
        <v>0</v>
      </c>
      <c r="C1" t="s">
        <v>1</v>
      </c>
      <c r="D1" s="63" t="s">
        <v>3</v>
      </c>
      <c r="E1" s="63" t="s">
        <v>636</v>
      </c>
      <c r="F1" s="63" t="s">
        <v>399</v>
      </c>
      <c r="G1" s="63" t="s">
        <v>400</v>
      </c>
      <c r="H1" s="63" t="s">
        <v>401</v>
      </c>
      <c r="I1" s="63" t="s">
        <v>632</v>
      </c>
      <c r="J1" s="63" t="s">
        <v>402</v>
      </c>
      <c r="K1" s="63" t="s">
        <v>403</v>
      </c>
      <c r="L1" s="63" t="s">
        <v>404</v>
      </c>
      <c r="M1" s="63" t="s">
        <v>405</v>
      </c>
      <c r="N1" s="63" t="s">
        <v>12</v>
      </c>
      <c r="O1" s="63" t="s">
        <v>406</v>
      </c>
      <c r="P1" t="s">
        <v>14</v>
      </c>
      <c r="Q1" t="s">
        <v>15</v>
      </c>
      <c r="R1" t="s">
        <v>449</v>
      </c>
      <c r="S1" s="4" t="s">
        <v>447</v>
      </c>
      <c r="T1" t="s">
        <v>448</v>
      </c>
    </row>
    <row r="2" spans="1:23" x14ac:dyDescent="0.25">
      <c r="A2" t="s">
        <v>18</v>
      </c>
      <c r="B2" t="s">
        <v>17</v>
      </c>
      <c r="C2" t="s">
        <v>16</v>
      </c>
      <c r="D2" s="127">
        <v>2067</v>
      </c>
      <c r="E2" s="127">
        <v>1249</v>
      </c>
      <c r="F2" s="131">
        <v>87.227867126464844</v>
      </c>
      <c r="G2" s="131">
        <v>87.566520690917969</v>
      </c>
      <c r="H2" s="131">
        <v>68.1180419921875</v>
      </c>
      <c r="I2" s="131">
        <v>97.838272094726563</v>
      </c>
      <c r="J2" s="131">
        <v>98.451866149902344</v>
      </c>
      <c r="K2" s="131">
        <v>92.936622619628906</v>
      </c>
      <c r="L2" s="131">
        <v>100</v>
      </c>
      <c r="M2" s="131">
        <v>98.984031677246094</v>
      </c>
      <c r="N2" s="131">
        <v>64.005805969238281</v>
      </c>
      <c r="O2" s="131">
        <v>66.376388549804688</v>
      </c>
      <c r="P2" s="2">
        <f t="shared" ref="P2:P22" si="0">VALUE(RIGHT(B2,2))</f>
        <v>5</v>
      </c>
      <c r="Q2">
        <f t="shared" ref="Q2:Q22" si="1">RANK(P2,P$2:P$22,1)</f>
        <v>1</v>
      </c>
      <c r="S2" s="4" cm="1">
        <f t="array" ref="S2">INDEX(aliance_data_quality!$A$2:$Q$22,(ROW()-ROW(aliance_data_quality!$A$1:$Q$1)),MATCH(selected_dq_name,aliance_data_quality!$A$1:$Q$1,0))</f>
        <v>92.936622619628906</v>
      </c>
      <c r="T2" s="4">
        <f>RANK(S2,S:S,1)+COUNTIF($S$2:S2,S2)-1</f>
        <v>9</v>
      </c>
      <c r="W2" s="4"/>
    </row>
    <row r="3" spans="1:23" x14ac:dyDescent="0.25">
      <c r="A3" t="s">
        <v>21</v>
      </c>
      <c r="B3" t="s">
        <v>20</v>
      </c>
      <c r="C3" t="s">
        <v>19</v>
      </c>
      <c r="D3" s="127">
        <v>2243</v>
      </c>
      <c r="E3" s="127">
        <v>1359</v>
      </c>
      <c r="F3" s="131">
        <v>87.695053100585938</v>
      </c>
      <c r="G3" s="131">
        <v>83.994651794433594</v>
      </c>
      <c r="H3" s="131">
        <v>64.333480834960938</v>
      </c>
      <c r="I3" s="131">
        <v>98.749076843261719</v>
      </c>
      <c r="J3" s="131">
        <v>98.796257019042969</v>
      </c>
      <c r="K3" s="131">
        <v>94.605438232421875</v>
      </c>
      <c r="L3" s="131">
        <v>100</v>
      </c>
      <c r="M3" s="131">
        <v>97.280426025390625</v>
      </c>
      <c r="N3" s="131">
        <v>63.66473388671875</v>
      </c>
      <c r="O3" s="131">
        <v>48.105216979980469</v>
      </c>
      <c r="P3" s="2">
        <f t="shared" si="0"/>
        <v>24</v>
      </c>
      <c r="Q3">
        <f t="shared" si="1"/>
        <v>15</v>
      </c>
      <c r="S3" s="4" cm="1">
        <f t="array" ref="S3">INDEX(aliance_data_quality!$A$2:$Q$22,(ROW()-ROW(aliance_data_quality!$A$1:$Q$1)),MATCH(selected_dq_name,aliance_data_quality!$A$1:$Q$1,0))</f>
        <v>94.605438232421875</v>
      </c>
      <c r="T3" s="4">
        <f>RANK(S3,S:S,1)+COUNTIF($S$2:S3,S3)-1</f>
        <v>14</v>
      </c>
      <c r="W3" s="4"/>
    </row>
    <row r="4" spans="1:23" x14ac:dyDescent="0.25">
      <c r="A4" t="s">
        <v>24</v>
      </c>
      <c r="B4" t="s">
        <v>23</v>
      </c>
      <c r="C4" t="s">
        <v>22</v>
      </c>
      <c r="D4" s="127">
        <v>1850</v>
      </c>
      <c r="E4" s="127">
        <v>1065</v>
      </c>
      <c r="F4" s="131">
        <v>84.972976684570313</v>
      </c>
      <c r="G4" s="131">
        <v>83.621620178222656</v>
      </c>
      <c r="H4" s="131">
        <v>62.324325561523438</v>
      </c>
      <c r="I4" s="131">
        <v>94.366195678710938</v>
      </c>
      <c r="J4" s="131">
        <v>99.027023315429688</v>
      </c>
      <c r="K4" s="131">
        <v>88.270271301269531</v>
      </c>
      <c r="L4" s="131">
        <v>100</v>
      </c>
      <c r="M4" s="131">
        <v>97.513511657714844</v>
      </c>
      <c r="N4" s="131">
        <v>56.054054260253906</v>
      </c>
      <c r="O4" s="131">
        <v>51.729728698730469</v>
      </c>
      <c r="P4" s="2">
        <f t="shared" si="0"/>
        <v>22</v>
      </c>
      <c r="Q4">
        <f t="shared" si="1"/>
        <v>13</v>
      </c>
      <c r="S4" s="4" cm="1">
        <f t="array" ref="S4">INDEX(aliance_data_quality!$A$2:$Q$22,(ROW()-ROW(aliance_data_quality!$A$1:$Q$1)),MATCH(selected_dq_name,aliance_data_quality!$A$1:$Q$1,0))</f>
        <v>88.270271301269531</v>
      </c>
      <c r="T4" s="4">
        <f>RANK(S4,S:S,1)+COUNTIF($S$2:S4,S4)-1</f>
        <v>6</v>
      </c>
      <c r="W4" s="4"/>
    </row>
    <row r="5" spans="1:23" x14ac:dyDescent="0.25">
      <c r="A5" t="s">
        <v>27</v>
      </c>
      <c r="B5" t="s">
        <v>26</v>
      </c>
      <c r="C5" t="s">
        <v>25</v>
      </c>
      <c r="D5" s="127">
        <v>1566</v>
      </c>
      <c r="E5" s="127">
        <v>1014</v>
      </c>
      <c r="F5" s="131">
        <v>86.462326049804688</v>
      </c>
      <c r="G5" s="131">
        <v>78.28863525390625</v>
      </c>
      <c r="H5" s="131">
        <v>69.412513732910156</v>
      </c>
      <c r="I5" s="131">
        <v>96.646942138671875</v>
      </c>
      <c r="J5" s="131">
        <v>97.637290954589844</v>
      </c>
      <c r="K5" s="131">
        <v>95.210731506347656</v>
      </c>
      <c r="L5" s="131">
        <v>100</v>
      </c>
      <c r="M5" s="131">
        <v>97.445724487304688</v>
      </c>
      <c r="N5" s="131">
        <v>61.047252655029297</v>
      </c>
      <c r="O5" s="131">
        <v>43.039592742919922</v>
      </c>
      <c r="P5" s="2">
        <f t="shared" si="0"/>
        <v>23</v>
      </c>
      <c r="Q5">
        <f t="shared" si="1"/>
        <v>14</v>
      </c>
      <c r="S5" s="4" cm="1">
        <f t="array" ref="S5">INDEX(aliance_data_quality!$A$2:$Q$22,(ROW()-ROW(aliance_data_quality!$A$1:$Q$1)),MATCH(selected_dq_name,aliance_data_quality!$A$1:$Q$1,0))</f>
        <v>95.210731506347656</v>
      </c>
      <c r="T5" s="4">
        <f>RANK(S5,S:S,1)+COUNTIF($S$2:S5,S5)-1</f>
        <v>16</v>
      </c>
      <c r="W5" s="4"/>
    </row>
    <row r="6" spans="1:23" x14ac:dyDescent="0.25">
      <c r="A6" t="s">
        <v>30</v>
      </c>
      <c r="B6" t="s">
        <v>29</v>
      </c>
      <c r="C6" t="s">
        <v>28</v>
      </c>
      <c r="D6" s="127">
        <v>2264</v>
      </c>
      <c r="E6" s="127">
        <v>1306</v>
      </c>
      <c r="F6" s="131">
        <v>87.5</v>
      </c>
      <c r="G6" s="131">
        <v>91.386924743652344</v>
      </c>
      <c r="H6" s="131">
        <v>63.736747741699219</v>
      </c>
      <c r="I6" s="131">
        <v>96.937210083007813</v>
      </c>
      <c r="J6" s="131">
        <v>99.602470397949219</v>
      </c>
      <c r="K6" s="131">
        <v>94.390457153320313</v>
      </c>
      <c r="L6" s="131">
        <v>100</v>
      </c>
      <c r="M6" s="131">
        <v>98.23321533203125</v>
      </c>
      <c r="N6" s="131">
        <v>64.13427734375</v>
      </c>
      <c r="O6" s="131">
        <v>63.074203491210938</v>
      </c>
      <c r="P6" s="2">
        <f t="shared" si="0"/>
        <v>19</v>
      </c>
      <c r="Q6">
        <f t="shared" si="1"/>
        <v>11</v>
      </c>
      <c r="S6" s="4" cm="1">
        <f t="array" ref="S6">INDEX(aliance_data_quality!$A$2:$Q$22,(ROW()-ROW(aliance_data_quality!$A$1:$Q$1)),MATCH(selected_dq_name,aliance_data_quality!$A$1:$Q$1,0))</f>
        <v>94.390457153320313</v>
      </c>
      <c r="T6" s="4">
        <f>RANK(S6,S:S,1)+COUNTIF($S$2:S6,S6)-1</f>
        <v>13</v>
      </c>
      <c r="W6" s="4"/>
    </row>
    <row r="7" spans="1:23" x14ac:dyDescent="0.25">
      <c r="A7" t="s">
        <v>33</v>
      </c>
      <c r="B7" t="s">
        <v>32</v>
      </c>
      <c r="C7" t="s">
        <v>31</v>
      </c>
      <c r="D7" s="127">
        <v>1151</v>
      </c>
      <c r="E7" s="127">
        <v>571</v>
      </c>
      <c r="F7" s="131">
        <v>92.267593383789063</v>
      </c>
      <c r="G7" s="131">
        <v>86.185928344726563</v>
      </c>
      <c r="H7" s="131">
        <v>55.603824615478516</v>
      </c>
      <c r="I7" s="131">
        <v>98.248687744140625</v>
      </c>
      <c r="J7" s="131">
        <v>97.567329406738281</v>
      </c>
      <c r="K7" s="131">
        <v>95.742835998535156</v>
      </c>
      <c r="L7" s="131">
        <v>100</v>
      </c>
      <c r="M7" s="131">
        <v>94.526496887207031</v>
      </c>
      <c r="N7" s="131">
        <v>59.860988616943359</v>
      </c>
      <c r="O7" s="131">
        <v>43.788009643554688</v>
      </c>
      <c r="P7" s="2">
        <f t="shared" si="0"/>
        <v>26</v>
      </c>
      <c r="Q7">
        <f t="shared" si="1"/>
        <v>17</v>
      </c>
      <c r="S7" s="4" cm="1">
        <f t="array" ref="S7">INDEX(aliance_data_quality!$A$2:$Q$22,(ROW()-ROW(aliance_data_quality!$A$1:$Q$1)),MATCH(selected_dq_name,aliance_data_quality!$A$1:$Q$1,0))</f>
        <v>95.742835998535156</v>
      </c>
      <c r="T7" s="4">
        <f>RANK(S7,S:S,1)+COUNTIF($S$2:S7,S7)-1</f>
        <v>19</v>
      </c>
      <c r="W7" s="4"/>
    </row>
    <row r="8" spans="1:23" x14ac:dyDescent="0.25">
      <c r="A8" t="s">
        <v>36</v>
      </c>
      <c r="B8" t="s">
        <v>35</v>
      </c>
      <c r="C8" t="s">
        <v>34</v>
      </c>
      <c r="D8" s="127">
        <v>1100</v>
      </c>
      <c r="E8" s="127">
        <v>609</v>
      </c>
      <c r="F8" s="131">
        <v>79.363639831542969</v>
      </c>
      <c r="G8" s="131">
        <v>80.090911865234375</v>
      </c>
      <c r="H8" s="131">
        <v>68.363639831542969</v>
      </c>
      <c r="I8" s="131">
        <v>98.686370849609375</v>
      </c>
      <c r="J8" s="131">
        <v>96.090911865234375</v>
      </c>
      <c r="K8" s="131">
        <v>88.454544067382813</v>
      </c>
      <c r="L8" s="131">
        <v>100</v>
      </c>
      <c r="M8" s="131">
        <v>95.545455932617188</v>
      </c>
      <c r="N8" s="131">
        <v>58.272727966308594</v>
      </c>
      <c r="O8" s="131">
        <v>36.818180084228516</v>
      </c>
      <c r="P8" s="2">
        <f t="shared" si="0"/>
        <v>11</v>
      </c>
      <c r="Q8">
        <f t="shared" si="1"/>
        <v>4</v>
      </c>
      <c r="S8" s="4" cm="1">
        <f t="array" ref="S8">INDEX(aliance_data_quality!$A$2:$Q$22,(ROW()-ROW(aliance_data_quality!$A$1:$Q$1)),MATCH(selected_dq_name,aliance_data_quality!$A$1:$Q$1,0))</f>
        <v>88.454544067382813</v>
      </c>
      <c r="T8" s="4">
        <f>RANK(S8,S:S,1)+COUNTIF($S$2:S8,S8)-1</f>
        <v>7</v>
      </c>
      <c r="W8" s="4"/>
    </row>
    <row r="9" spans="1:23" x14ac:dyDescent="0.25">
      <c r="A9" t="s">
        <v>39</v>
      </c>
      <c r="B9" t="s">
        <v>38</v>
      </c>
      <c r="C9" t="s">
        <v>37</v>
      </c>
      <c r="D9" s="127">
        <v>1148</v>
      </c>
      <c r="E9" s="127">
        <v>691</v>
      </c>
      <c r="F9" s="131">
        <v>85.365852355957031</v>
      </c>
      <c r="G9" s="131">
        <v>80.749130249023438</v>
      </c>
      <c r="H9" s="131">
        <v>62.020904541015625</v>
      </c>
      <c r="I9" s="131">
        <v>98.263389587402344</v>
      </c>
      <c r="J9" s="131">
        <v>98.693382263183594</v>
      </c>
      <c r="K9" s="131">
        <v>94.860626220703125</v>
      </c>
      <c r="L9" s="131">
        <v>100</v>
      </c>
      <c r="M9" s="131">
        <v>97.386756896972656</v>
      </c>
      <c r="N9" s="131">
        <v>61.933799743652344</v>
      </c>
      <c r="O9" s="131">
        <v>43.728221893310547</v>
      </c>
      <c r="P9" s="2">
        <f t="shared" si="0"/>
        <v>18</v>
      </c>
      <c r="Q9">
        <f t="shared" si="1"/>
        <v>10</v>
      </c>
      <c r="S9" s="4" cm="1">
        <f t="array" ref="S9">INDEX(aliance_data_quality!$A$2:$Q$22,(ROW()-ROW(aliance_data_quality!$A$1:$Q$1)),MATCH(selected_dq_name,aliance_data_quality!$A$1:$Q$1,0))</f>
        <v>94.860626220703125</v>
      </c>
      <c r="T9" s="4">
        <f>RANK(S9,S:S,1)+COUNTIF($S$2:S9,S9)-1</f>
        <v>15</v>
      </c>
      <c r="W9" s="4"/>
    </row>
    <row r="10" spans="1:23" x14ac:dyDescent="0.25">
      <c r="A10" t="s">
        <v>42</v>
      </c>
      <c r="B10" t="s">
        <v>41</v>
      </c>
      <c r="C10" t="s">
        <v>40</v>
      </c>
      <c r="D10" s="127">
        <v>666</v>
      </c>
      <c r="E10" s="127">
        <v>362</v>
      </c>
      <c r="F10" s="131">
        <v>81.381378173828125</v>
      </c>
      <c r="G10" s="131">
        <v>62.912914276123047</v>
      </c>
      <c r="H10" s="131">
        <v>78.828826904296875</v>
      </c>
      <c r="I10" s="131">
        <v>98.895027160644531</v>
      </c>
      <c r="J10" s="131">
        <v>98.348350524902344</v>
      </c>
      <c r="K10" s="131">
        <v>64.264266967773438</v>
      </c>
      <c r="L10" s="131">
        <v>100</v>
      </c>
      <c r="M10" s="131">
        <v>96.846847534179688</v>
      </c>
      <c r="N10" s="131">
        <v>51.201202392578125</v>
      </c>
      <c r="O10" s="131">
        <v>45.345344543457031</v>
      </c>
      <c r="P10" s="2">
        <f t="shared" si="0"/>
        <v>27</v>
      </c>
      <c r="Q10">
        <f t="shared" si="1"/>
        <v>18</v>
      </c>
      <c r="S10" s="4" cm="1">
        <f t="array" ref="S10">INDEX(aliance_data_quality!$A$2:$Q$22,(ROW()-ROW(aliance_data_quality!$A$1:$Q$1)),MATCH(selected_dq_name,aliance_data_quality!$A$1:$Q$1,0))</f>
        <v>64.264266967773438</v>
      </c>
      <c r="T10" s="4">
        <f>RANK(S10,S:S,1)+COUNTIF($S$2:S10,S10)-1</f>
        <v>1</v>
      </c>
      <c r="W10" s="4"/>
    </row>
    <row r="11" spans="1:23" x14ac:dyDescent="0.25">
      <c r="A11" t="s">
        <v>45</v>
      </c>
      <c r="B11" t="s">
        <v>44</v>
      </c>
      <c r="C11" t="s">
        <v>43</v>
      </c>
      <c r="D11" s="127">
        <v>807</v>
      </c>
      <c r="E11" s="127">
        <v>475</v>
      </c>
      <c r="F11" s="131">
        <v>90.334571838378906</v>
      </c>
      <c r="G11" s="131">
        <v>54.646839141845703</v>
      </c>
      <c r="H11" s="131">
        <v>73.358116149902344</v>
      </c>
      <c r="I11" s="131">
        <v>98.105262756347656</v>
      </c>
      <c r="J11" s="131">
        <v>97.273857116699219</v>
      </c>
      <c r="K11" s="131">
        <v>87.484512329101563</v>
      </c>
      <c r="L11" s="131">
        <v>100</v>
      </c>
      <c r="M11" s="131">
        <v>98.884757995605469</v>
      </c>
      <c r="N11" s="131">
        <v>52.044609069824219</v>
      </c>
      <c r="O11" s="131">
        <v>44.114002227783203</v>
      </c>
      <c r="P11" s="2">
        <f t="shared" si="0"/>
        <v>28</v>
      </c>
      <c r="Q11">
        <f t="shared" si="1"/>
        <v>19</v>
      </c>
      <c r="S11" s="4" cm="1">
        <f t="array" ref="S11">INDEX(aliance_data_quality!$A$2:$Q$22,(ROW()-ROW(aliance_data_quality!$A$1:$Q$1)),MATCH(selected_dq_name,aliance_data_quality!$A$1:$Q$1,0))</f>
        <v>87.484512329101563</v>
      </c>
      <c r="T11" s="4">
        <f>RANK(S11,S:S,1)+COUNTIF($S$2:S11,S11)-1</f>
        <v>5</v>
      </c>
      <c r="W11" s="4"/>
    </row>
    <row r="12" spans="1:23" x14ac:dyDescent="0.25">
      <c r="A12" t="s">
        <v>48</v>
      </c>
      <c r="B12" t="s">
        <v>47</v>
      </c>
      <c r="C12" t="s">
        <v>46</v>
      </c>
      <c r="D12" s="127">
        <v>2685</v>
      </c>
      <c r="E12" s="127">
        <v>1660</v>
      </c>
      <c r="F12" s="131">
        <v>88.938545227050781</v>
      </c>
      <c r="G12" s="131">
        <v>87.150840759277344</v>
      </c>
      <c r="H12" s="131">
        <v>65.586593627929688</v>
      </c>
      <c r="I12" s="131">
        <v>99.096382141113281</v>
      </c>
      <c r="J12" s="131">
        <v>97.728118896484375</v>
      </c>
      <c r="K12" s="131">
        <v>95.45623779296875</v>
      </c>
      <c r="L12" s="131">
        <v>100</v>
      </c>
      <c r="M12" s="131">
        <v>98.100555419921875</v>
      </c>
      <c r="N12" s="131">
        <v>62.346366882324219</v>
      </c>
      <c r="O12" s="131">
        <v>56.238361358642578</v>
      </c>
      <c r="P12" s="2">
        <f t="shared" si="0"/>
        <v>29</v>
      </c>
      <c r="Q12">
        <f t="shared" si="1"/>
        <v>20</v>
      </c>
      <c r="S12" s="4" cm="1">
        <f t="array" ref="S12">INDEX(aliance_data_quality!$A$2:$Q$22,(ROW()-ROW(aliance_data_quality!$A$1:$Q$1)),MATCH(selected_dq_name,aliance_data_quality!$A$1:$Q$1,0))</f>
        <v>95.45623779296875</v>
      </c>
      <c r="T12" s="4">
        <f>RANK(S12,S:S,1)+COUNTIF($S$2:S12,S12)-1</f>
        <v>17</v>
      </c>
      <c r="W12" s="4"/>
    </row>
    <row r="13" spans="1:23" x14ac:dyDescent="0.25">
      <c r="A13" t="s">
        <v>51</v>
      </c>
      <c r="B13" t="s">
        <v>50</v>
      </c>
      <c r="C13" t="s">
        <v>49</v>
      </c>
      <c r="D13" s="127">
        <v>1191</v>
      </c>
      <c r="E13" s="127">
        <v>570</v>
      </c>
      <c r="F13" s="131">
        <v>76.406379699707031</v>
      </c>
      <c r="G13" s="131">
        <v>75.398826599121094</v>
      </c>
      <c r="H13" s="131">
        <v>56.087322235107422</v>
      </c>
      <c r="I13" s="131">
        <v>99.649124145507813</v>
      </c>
      <c r="J13" s="131">
        <v>92.359359741210938</v>
      </c>
      <c r="K13" s="131">
        <v>81.863983154296875</v>
      </c>
      <c r="L13" s="131">
        <v>100</v>
      </c>
      <c r="M13" s="131">
        <v>96.893363952636719</v>
      </c>
      <c r="N13" s="131">
        <v>41.645675659179688</v>
      </c>
      <c r="O13" s="131">
        <v>42.905120849609375</v>
      </c>
      <c r="P13" s="2">
        <f t="shared" si="0"/>
        <v>14</v>
      </c>
      <c r="Q13">
        <f t="shared" si="1"/>
        <v>7</v>
      </c>
      <c r="S13" s="4" cm="1">
        <f t="array" ref="S13">INDEX(aliance_data_quality!$A$2:$Q$22,(ROW()-ROW(aliance_data_quality!$A$1:$Q$1)),MATCH(selected_dq_name,aliance_data_quality!$A$1:$Q$1,0))</f>
        <v>81.863983154296875</v>
      </c>
      <c r="T13" s="4">
        <f>RANK(S13,S:S,1)+COUNTIF($S$2:S13,S13)-1</f>
        <v>3</v>
      </c>
      <c r="W13" s="4"/>
    </row>
    <row r="14" spans="1:23" s="3" customFormat="1" x14ac:dyDescent="0.25">
      <c r="A14" s="3" t="s">
        <v>512</v>
      </c>
      <c r="B14" s="3" t="s">
        <v>71</v>
      </c>
      <c r="C14" s="3" t="s">
        <v>70</v>
      </c>
      <c r="D14" s="127">
        <v>1449</v>
      </c>
      <c r="E14" s="127">
        <v>964</v>
      </c>
      <c r="F14" s="131">
        <v>85.300209045410156</v>
      </c>
      <c r="G14" s="131">
        <v>74.396133422851563</v>
      </c>
      <c r="H14" s="131">
        <v>72.32574462890625</v>
      </c>
      <c r="I14" s="131">
        <v>92.73858642578125</v>
      </c>
      <c r="J14" s="131">
        <v>98.274673461914063</v>
      </c>
      <c r="K14" s="131">
        <v>94.133888244628906</v>
      </c>
      <c r="L14" s="131">
        <v>100</v>
      </c>
      <c r="M14" s="131">
        <v>97.239479064941406</v>
      </c>
      <c r="N14" s="131">
        <v>48.9302978515625</v>
      </c>
      <c r="O14" s="131">
        <v>15.251897811889648</v>
      </c>
      <c r="P14" s="2">
        <f t="shared" si="0"/>
        <v>21</v>
      </c>
      <c r="Q14" s="3">
        <f t="shared" si="1"/>
        <v>12</v>
      </c>
      <c r="S14" s="123" cm="1">
        <f t="array" ref="S14">INDEX(aliance_data_quality!$A$2:$Q$22,(ROW()-ROW(aliance_data_quality!$A$1:$Q$1)),MATCH(selected_dq_name,aliance_data_quality!$A$1:$Q$1,0))</f>
        <v>94.133888244628906</v>
      </c>
      <c r="T14" s="4">
        <f>RANK(S14,S:S,1)+COUNTIF($S$2:S14,S14)-1</f>
        <v>12</v>
      </c>
      <c r="V14"/>
      <c r="W14" s="4"/>
    </row>
    <row r="15" spans="1:23" x14ac:dyDescent="0.25">
      <c r="A15" t="s">
        <v>54</v>
      </c>
      <c r="B15" t="s">
        <v>53</v>
      </c>
      <c r="C15" t="s">
        <v>52</v>
      </c>
      <c r="D15" s="127">
        <v>1548</v>
      </c>
      <c r="E15" s="127">
        <v>864</v>
      </c>
      <c r="F15" s="131">
        <v>87.919898986816406</v>
      </c>
      <c r="G15" s="131">
        <v>91.085273742675781</v>
      </c>
      <c r="H15" s="131">
        <v>62.790699005126953</v>
      </c>
      <c r="I15" s="131">
        <v>98.03240966796875</v>
      </c>
      <c r="J15" s="131">
        <v>96.511627197265625</v>
      </c>
      <c r="K15" s="131">
        <v>90.245475769042969</v>
      </c>
      <c r="L15" s="131">
        <v>100</v>
      </c>
      <c r="M15" s="131">
        <v>95.025840759277344</v>
      </c>
      <c r="N15" s="131">
        <v>59.883720397949219</v>
      </c>
      <c r="O15" s="131">
        <v>39.857879638671875</v>
      </c>
      <c r="P15" s="2">
        <f t="shared" si="0"/>
        <v>15</v>
      </c>
      <c r="Q15">
        <f t="shared" si="1"/>
        <v>8</v>
      </c>
      <c r="S15" s="4" cm="1">
        <f t="array" ref="S15">INDEX(aliance_data_quality!$A$2:$Q$22,(ROW()-ROW(aliance_data_quality!$A$1:$Q$1)),MATCH(selected_dq_name,aliance_data_quality!$A$1:$Q$1,0))</f>
        <v>90.245475769042969</v>
      </c>
      <c r="T15" s="4">
        <f>RANK(S15,S:S,1)+COUNTIF($S$2:S15,S15)-1</f>
        <v>8</v>
      </c>
      <c r="W15" s="4"/>
    </row>
    <row r="16" spans="1:23" x14ac:dyDescent="0.25">
      <c r="A16" t="s">
        <v>57</v>
      </c>
      <c r="B16" t="s">
        <v>56</v>
      </c>
      <c r="C16" t="s">
        <v>55</v>
      </c>
      <c r="D16" s="127">
        <v>945</v>
      </c>
      <c r="E16" s="127">
        <v>469</v>
      </c>
      <c r="F16" s="131">
        <v>72.1693115234375</v>
      </c>
      <c r="G16" s="131">
        <v>67.40740966796875</v>
      </c>
      <c r="H16" s="131">
        <v>52.698413848876953</v>
      </c>
      <c r="I16" s="131">
        <v>92.750534057617188</v>
      </c>
      <c r="J16" s="131">
        <v>98.518516540527344</v>
      </c>
      <c r="K16" s="131">
        <v>83.809524536132813</v>
      </c>
      <c r="L16" s="131">
        <v>100</v>
      </c>
      <c r="M16" s="131">
        <v>96.190475463867188</v>
      </c>
      <c r="N16" s="131">
        <v>52.380950927734375</v>
      </c>
      <c r="O16" s="131">
        <v>52.1693115234375</v>
      </c>
      <c r="P16" s="2">
        <f t="shared" si="0"/>
        <v>10</v>
      </c>
      <c r="Q16">
        <f t="shared" si="1"/>
        <v>3</v>
      </c>
      <c r="S16" s="4" cm="1">
        <f t="array" ref="S16">INDEX(aliance_data_quality!$A$2:$Q$22,(ROW()-ROW(aliance_data_quality!$A$1:$Q$1)),MATCH(selected_dq_name,aliance_data_quality!$A$1:$Q$1,0))</f>
        <v>83.809524536132813</v>
      </c>
      <c r="T16" s="4">
        <f>RANK(S16,S:S,1)+COUNTIF($S$2:S16,S16)-1</f>
        <v>4</v>
      </c>
      <c r="W16" s="4"/>
    </row>
    <row r="17" spans="1:23" s="3" customFormat="1" x14ac:dyDescent="0.25">
      <c r="A17" t="s">
        <v>60</v>
      </c>
      <c r="B17" t="s">
        <v>59</v>
      </c>
      <c r="C17" t="s">
        <v>58</v>
      </c>
      <c r="D17" s="127">
        <v>1411</v>
      </c>
      <c r="E17" s="127">
        <v>837</v>
      </c>
      <c r="F17" s="131">
        <v>93.267189025878906</v>
      </c>
      <c r="G17" s="131">
        <v>86.676116943359375</v>
      </c>
      <c r="H17" s="131">
        <v>59.177886962890625</v>
      </c>
      <c r="I17" s="131">
        <v>97.849464416503906</v>
      </c>
      <c r="J17" s="131">
        <v>94.259391784667969</v>
      </c>
      <c r="K17" s="131">
        <v>95.676826477050781</v>
      </c>
      <c r="L17" s="131">
        <v>100</v>
      </c>
      <c r="M17" s="131">
        <v>98.157333374023438</v>
      </c>
      <c r="N17" s="131">
        <v>63.430191040039063</v>
      </c>
      <c r="O17" s="131">
        <v>47.200565338134766</v>
      </c>
      <c r="P17" s="2">
        <f t="shared" si="0"/>
        <v>25</v>
      </c>
      <c r="Q17">
        <f t="shared" si="1"/>
        <v>16</v>
      </c>
      <c r="R17"/>
      <c r="S17" s="4" cm="1">
        <f t="array" ref="S17">INDEX(aliance_data_quality!$A$2:$Q$22,(ROW()-ROW(aliance_data_quality!$A$1:$Q$1)),MATCH(selected_dq_name,aliance_data_quality!$A$1:$Q$1,0))</f>
        <v>95.676826477050781</v>
      </c>
      <c r="T17" s="4">
        <f>RANK(S17,S:S,1)+COUNTIF($S$2:S17,S17)-1</f>
        <v>18</v>
      </c>
      <c r="W17" s="123"/>
    </row>
    <row r="18" spans="1:23" x14ac:dyDescent="0.25">
      <c r="A18" s="3" t="s">
        <v>63</v>
      </c>
      <c r="B18" s="3" t="s">
        <v>62</v>
      </c>
      <c r="C18" s="3" t="s">
        <v>61</v>
      </c>
      <c r="D18" s="132">
        <v>1562</v>
      </c>
      <c r="E18" s="132">
        <v>713</v>
      </c>
      <c r="F18" s="133">
        <v>87.387962341308594</v>
      </c>
      <c r="G18" s="133">
        <v>88.220230102539063</v>
      </c>
      <c r="H18" s="133">
        <v>59.987194061279297</v>
      </c>
      <c r="I18" s="133">
        <v>96.914443969726563</v>
      </c>
      <c r="J18" s="133">
        <v>96.542892456054688</v>
      </c>
      <c r="K18" s="133">
        <v>80.153648376464844</v>
      </c>
      <c r="L18" s="133">
        <v>100</v>
      </c>
      <c r="M18" s="133">
        <v>93.918052673339844</v>
      </c>
      <c r="N18" s="133">
        <v>48.847629547119141</v>
      </c>
      <c r="O18" s="133">
        <v>54.161331176757813</v>
      </c>
      <c r="P18" s="124">
        <f t="shared" si="0"/>
        <v>12</v>
      </c>
      <c r="Q18" s="3">
        <f t="shared" si="1"/>
        <v>5</v>
      </c>
      <c r="R18" s="3"/>
      <c r="S18" s="123" cm="1">
        <f t="array" ref="S18">INDEX(aliance_data_quality!$A$2:$Q$22,(ROW()-ROW(aliance_data_quality!$A$1:$Q$1)),MATCH(selected_dq_name,aliance_data_quality!$A$1:$Q$1,0))</f>
        <v>80.153648376464844</v>
      </c>
      <c r="T18" s="123">
        <f>RANK(S18,S:S,1)+COUNTIF($S$2:S18,S18)-1</f>
        <v>2</v>
      </c>
      <c r="W18" s="4"/>
    </row>
    <row r="19" spans="1:23" x14ac:dyDescent="0.25">
      <c r="A19" t="s">
        <v>66</v>
      </c>
      <c r="B19" t="s">
        <v>65</v>
      </c>
      <c r="C19" t="s">
        <v>64</v>
      </c>
      <c r="D19" s="127">
        <v>1374</v>
      </c>
      <c r="E19" s="127">
        <v>901</v>
      </c>
      <c r="F19" s="131">
        <v>89.665214538574219</v>
      </c>
      <c r="G19" s="131">
        <v>89.737991333007813</v>
      </c>
      <c r="H19" s="131">
        <v>79.767105102539063</v>
      </c>
      <c r="I19" s="131">
        <v>99.112098693847656</v>
      </c>
      <c r="J19" s="131">
        <v>98.835517883300781</v>
      </c>
      <c r="K19" s="131">
        <v>96.142646789550781</v>
      </c>
      <c r="L19" s="131">
        <v>100</v>
      </c>
      <c r="M19" s="131">
        <v>96.069869995117188</v>
      </c>
      <c r="N19" s="131">
        <v>72.12518310546875</v>
      </c>
      <c r="O19" s="131">
        <v>67.540031433105469</v>
      </c>
      <c r="P19" s="2">
        <f t="shared" si="0"/>
        <v>13</v>
      </c>
      <c r="Q19">
        <f t="shared" si="1"/>
        <v>6</v>
      </c>
      <c r="S19" s="4" cm="1">
        <f t="array" ref="S19">INDEX(aliance_data_quality!$A$2:$Q$22,(ROW()-ROW(aliance_data_quality!$A$1:$Q$1)),MATCH(selected_dq_name,aliance_data_quality!$A$1:$Q$1,0))</f>
        <v>96.142646789550781</v>
      </c>
      <c r="T19" s="4">
        <f>RANK(S19,S:S,1)+COUNTIF($S$2:S19,S19)-1</f>
        <v>20</v>
      </c>
      <c r="W19" s="4"/>
    </row>
    <row r="20" spans="1:23" x14ac:dyDescent="0.25">
      <c r="A20" t="s">
        <v>69</v>
      </c>
      <c r="B20" t="s">
        <v>68</v>
      </c>
      <c r="C20" t="s">
        <v>67</v>
      </c>
      <c r="D20" s="127">
        <v>1400</v>
      </c>
      <c r="E20" s="127">
        <v>748</v>
      </c>
      <c r="F20" s="131">
        <v>92.142860412597656</v>
      </c>
      <c r="G20" s="131">
        <v>88.642860412597656</v>
      </c>
      <c r="H20" s="131">
        <v>56.785713195800781</v>
      </c>
      <c r="I20" s="131">
        <v>97.192512512207031</v>
      </c>
      <c r="J20" s="131">
        <v>94.285713195800781</v>
      </c>
      <c r="K20" s="131">
        <v>94.071426391601563</v>
      </c>
      <c r="L20" s="131">
        <v>100</v>
      </c>
      <c r="M20" s="131">
        <v>93.714286804199219</v>
      </c>
      <c r="N20" s="131">
        <v>65.5</v>
      </c>
      <c r="O20" s="131">
        <v>71.428573608398438</v>
      </c>
      <c r="P20" s="2">
        <f t="shared" si="0"/>
        <v>16</v>
      </c>
      <c r="Q20">
        <f t="shared" si="1"/>
        <v>9</v>
      </c>
      <c r="S20" s="4" cm="1">
        <f t="array" ref="S20">INDEX(aliance_data_quality!$A$2:$Q$22,(ROW()-ROW(aliance_data_quality!$A$1:$Q$1)),MATCH(selected_dq_name,aliance_data_quality!$A$1:$Q$1,0))</f>
        <v>94.071426391601563</v>
      </c>
      <c r="T20" s="4">
        <f>RANK(S20,S:S,1)+COUNTIF($S$2:S20,S20)-1</f>
        <v>11</v>
      </c>
      <c r="W20" s="4"/>
    </row>
    <row r="21" spans="1:23" x14ac:dyDescent="0.25">
      <c r="A21" t="s">
        <v>74</v>
      </c>
      <c r="B21" t="s">
        <v>73</v>
      </c>
      <c r="C21" t="s">
        <v>72</v>
      </c>
      <c r="D21" s="127">
        <v>3634</v>
      </c>
      <c r="E21" s="127">
        <v>2165</v>
      </c>
      <c r="F21" s="131">
        <v>88.855255126953125</v>
      </c>
      <c r="G21" s="131">
        <v>85.910842895507813</v>
      </c>
      <c r="H21" s="131">
        <v>61.474960327148438</v>
      </c>
      <c r="I21" s="131">
        <v>98.475753784179688</v>
      </c>
      <c r="J21" s="131">
        <v>98.651626586914063</v>
      </c>
      <c r="K21" s="131">
        <v>92.982940673828125</v>
      </c>
      <c r="L21" s="131">
        <v>100</v>
      </c>
      <c r="M21" s="131">
        <v>97.468353271484375</v>
      </c>
      <c r="N21" s="131">
        <v>58.503028869628906</v>
      </c>
      <c r="O21" s="131">
        <v>51.12823486328125</v>
      </c>
      <c r="P21" s="2">
        <f t="shared" si="0"/>
        <v>7</v>
      </c>
      <c r="Q21">
        <f t="shared" si="1"/>
        <v>2</v>
      </c>
      <c r="S21" s="4" cm="1">
        <f t="array" ref="S21">INDEX(aliance_data_quality!$A$2:$Q$22,(ROW()-ROW(aliance_data_quality!$A$1:$Q$1)),MATCH(selected_dq_name,aliance_data_quality!$A$1:$Q$1,0))</f>
        <v>92.982940673828125</v>
      </c>
      <c r="T21" s="4">
        <f>RANK(S21,S:S,1)+COUNTIF($S$2:S21,S21)-1</f>
        <v>10</v>
      </c>
      <c r="W21" s="4"/>
    </row>
    <row r="22" spans="1:23" x14ac:dyDescent="0.25">
      <c r="A22" t="s">
        <v>77</v>
      </c>
      <c r="B22" t="s">
        <v>76</v>
      </c>
      <c r="C22" t="s">
        <v>75</v>
      </c>
      <c r="D22" s="127">
        <v>1876</v>
      </c>
      <c r="E22" s="127">
        <v>1183</v>
      </c>
      <c r="F22" s="131">
        <v>94.616203308105469</v>
      </c>
      <c r="G22" s="131">
        <v>92.4840087890625</v>
      </c>
      <c r="H22" s="131">
        <v>92.6439208984375</v>
      </c>
      <c r="I22" s="131">
        <v>100</v>
      </c>
      <c r="J22" s="131">
        <v>92.697227478027344</v>
      </c>
      <c r="K22" s="131">
        <v>97.921112060546875</v>
      </c>
      <c r="L22" s="131">
        <v>100</v>
      </c>
      <c r="M22" s="131">
        <v>98.93389892578125</v>
      </c>
      <c r="N22" s="131">
        <v>77.771858215332031</v>
      </c>
      <c r="O22" s="131">
        <v>40.991470336914063</v>
      </c>
      <c r="P22" s="2">
        <f t="shared" si="0"/>
        <v>30</v>
      </c>
      <c r="Q22">
        <f t="shared" si="1"/>
        <v>21</v>
      </c>
      <c r="S22" s="4" cm="1">
        <f t="array" ref="S22">INDEX(aliance_data_quality!$A$2:$Q$22,(ROW()-ROW(aliance_data_quality!$A$1:$Q$1)),MATCH(selected_dq_name,aliance_data_quality!$A$1:$Q$1,0))</f>
        <v>97.921112060546875</v>
      </c>
      <c r="T22" s="4">
        <f>RANK(S22,S:S,1)+COUNTIF($S$2:S22,S22)-1</f>
        <v>21</v>
      </c>
      <c r="W22" s="4"/>
    </row>
    <row r="27" spans="1:23" x14ac:dyDescent="0.25">
      <c r="B27" s="63"/>
    </row>
    <row r="28" spans="1:23" x14ac:dyDescent="0.25">
      <c r="B28" s="63"/>
    </row>
    <row r="29" spans="1:23" x14ac:dyDescent="0.25">
      <c r="B29" s="63"/>
    </row>
    <row r="30" spans="1:23" x14ac:dyDescent="0.25">
      <c r="B30" s="63"/>
    </row>
    <row r="31" spans="1:23" x14ac:dyDescent="0.25">
      <c r="B31" s="63"/>
    </row>
    <row r="32" spans="1:23" x14ac:dyDescent="0.25">
      <c r="B32" s="63"/>
    </row>
    <row r="33" spans="2:2" x14ac:dyDescent="0.25">
      <c r="B33" s="63"/>
    </row>
    <row r="34" spans="2:2" x14ac:dyDescent="0.25">
      <c r="B34" s="63"/>
    </row>
    <row r="35" spans="2:2" x14ac:dyDescent="0.25">
      <c r="B35" s="63"/>
    </row>
    <row r="36" spans="2:2" x14ac:dyDescent="0.25">
      <c r="B36" s="63"/>
    </row>
    <row r="37" spans="2:2" x14ac:dyDescent="0.25">
      <c r="B37" s="63"/>
    </row>
    <row r="38" spans="2:2" x14ac:dyDescent="0.25">
      <c r="B38" s="63"/>
    </row>
    <row r="39" spans="2:2" x14ac:dyDescent="0.25">
      <c r="B39" s="63"/>
    </row>
    <row r="40" spans="2:2" x14ac:dyDescent="0.25">
      <c r="B40" s="63"/>
    </row>
    <row r="41" spans="2:2" x14ac:dyDescent="0.25">
      <c r="B41" s="63"/>
    </row>
    <row r="42" spans="2:2" x14ac:dyDescent="0.25">
      <c r="B42" s="63"/>
    </row>
    <row r="43" spans="2:2" x14ac:dyDescent="0.25">
      <c r="B43" s="63"/>
    </row>
    <row r="44" spans="2:2" x14ac:dyDescent="0.25">
      <c r="B44" s="63"/>
    </row>
    <row r="45" spans="2:2" x14ac:dyDescent="0.25">
      <c r="B45" s="63"/>
    </row>
    <row r="46" spans="2:2" x14ac:dyDescent="0.25">
      <c r="B46" s="63"/>
    </row>
    <row r="47" spans="2:2" x14ac:dyDescent="0.25">
      <c r="B47" s="63"/>
    </row>
  </sheetData>
  <sortState xmlns:xlrd2="http://schemas.microsoft.com/office/spreadsheetml/2017/richdata2" ref="A2:T22">
    <sortCondition ref="A2:A22"/>
  </sortState>
  <conditionalFormatting sqref="S2:S22">
    <cfRule type="top10" dxfId="5" priority="1" bottom="1" rank="1"/>
    <cfRule type="top10" dxfId="4" priority="2" rank="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P4"/>
  <sheetViews>
    <sheetView workbookViewId="0">
      <selection activeCell="E17" sqref="E17"/>
    </sheetView>
  </sheetViews>
  <sheetFormatPr defaultRowHeight="15" x14ac:dyDescent="0.25"/>
  <cols>
    <col min="1" max="1" width="12.5703125" bestFit="1" customWidth="1"/>
    <col min="2" max="2" width="11.140625" bestFit="1" customWidth="1"/>
    <col min="3" max="3" width="11.140625" customWidth="1"/>
    <col min="4" max="4" width="10" customWidth="1"/>
    <col min="5" max="5" width="9.7109375" bestFit="1" customWidth="1"/>
    <col min="6" max="6" width="11.140625" customWidth="1"/>
    <col min="7" max="7" width="10.140625" customWidth="1"/>
    <col min="8" max="8" width="9.7109375" customWidth="1"/>
    <col min="9" max="9" width="9.7109375" bestFit="1" customWidth="1"/>
    <col min="10" max="10" width="13.140625" customWidth="1"/>
    <col min="11" max="11" width="9.7109375" bestFit="1" customWidth="1"/>
    <col min="12" max="13" width="11.140625" customWidth="1"/>
    <col min="14" max="14" width="8.28515625" customWidth="1"/>
    <col min="15" max="15" width="19.85546875" customWidth="1"/>
    <col min="16" max="16" width="18.85546875" customWidth="1"/>
  </cols>
  <sheetData>
    <row r="1" spans="1:16" x14ac:dyDescent="0.25">
      <c r="A1" s="63" t="s">
        <v>336</v>
      </c>
      <c r="B1" s="63" t="s">
        <v>3</v>
      </c>
      <c r="C1" s="63" t="s">
        <v>636</v>
      </c>
      <c r="D1" s="63" t="s">
        <v>399</v>
      </c>
      <c r="E1" s="63" t="s">
        <v>400</v>
      </c>
      <c r="F1" s="63" t="s">
        <v>401</v>
      </c>
      <c r="G1" s="63" t="s">
        <v>632</v>
      </c>
      <c r="H1" s="63" t="s">
        <v>402</v>
      </c>
      <c r="I1" s="63" t="s">
        <v>403</v>
      </c>
      <c r="J1" s="63" t="s">
        <v>404</v>
      </c>
      <c r="K1" s="63" t="s">
        <v>405</v>
      </c>
      <c r="L1" s="63" t="s">
        <v>12</v>
      </c>
      <c r="M1" s="63" t="s">
        <v>406</v>
      </c>
      <c r="N1" s="11" t="s">
        <v>524</v>
      </c>
      <c r="O1" s="11" t="s">
        <v>447</v>
      </c>
      <c r="P1" s="11" t="s">
        <v>448</v>
      </c>
    </row>
    <row r="2" spans="1:16" x14ac:dyDescent="0.25">
      <c r="A2" s="63" t="s">
        <v>407</v>
      </c>
      <c r="B2" s="127">
        <v>34478</v>
      </c>
      <c r="C2" s="127">
        <v>19790</v>
      </c>
      <c r="D2" s="128">
        <v>86.022972106933594</v>
      </c>
      <c r="E2" s="128">
        <v>82.667205810546875</v>
      </c>
      <c r="F2" s="128">
        <v>64.829750061035156</v>
      </c>
      <c r="G2" s="128">
        <v>97.660430908203125</v>
      </c>
      <c r="H2" s="128">
        <v>97.372238159179688</v>
      </c>
      <c r="I2" s="128">
        <v>90.399673461914063</v>
      </c>
      <c r="J2" s="128">
        <v>100</v>
      </c>
      <c r="K2" s="128">
        <v>96.919776916503906</v>
      </c>
      <c r="L2" s="128">
        <v>59.330589294433594</v>
      </c>
      <c r="M2" s="128">
        <v>49.321308135986328</v>
      </c>
      <c r="N2" s="53"/>
      <c r="O2" s="53" cm="1">
        <f t="array" ref="O2">INDEX(national_data_quality!$A$1:$M$2,(ROW()*ROW(national_data_quality!$A$1:$M$1)),MATCH(selected_dq_name,national_data_quality!$A$1:$M$1,0))</f>
        <v>90.399673461914063</v>
      </c>
      <c r="P2" s="51" t="s">
        <v>339</v>
      </c>
    </row>
    <row r="4" spans="1:16" x14ac:dyDescent="0.25">
      <c r="A4" s="2"/>
      <c r="B4" s="2"/>
      <c r="C4" s="2"/>
      <c r="D4" s="2"/>
      <c r="E4" s="2"/>
      <c r="F4" s="2"/>
      <c r="G4" s="2"/>
      <c r="H4" s="2"/>
      <c r="I4" s="2"/>
      <c r="J4" s="2"/>
      <c r="K4" s="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pageSetUpPr autoPageBreaks="0"/>
  </sheetPr>
  <dimension ref="A1:BN127"/>
  <sheetViews>
    <sheetView workbookViewId="0">
      <pane xSplit="4" ySplit="1" topLeftCell="AE2" activePane="bottomRight" state="frozen"/>
      <selection activeCell="E17" sqref="E17"/>
      <selection pane="topRight" activeCell="E17" sqref="E17"/>
      <selection pane="bottomLeft" activeCell="E17" sqref="E17"/>
      <selection pane="bottomRight" activeCell="E17" sqref="E17"/>
    </sheetView>
  </sheetViews>
  <sheetFormatPr defaultRowHeight="15" x14ac:dyDescent="0.25"/>
  <cols>
    <col min="1" max="1" width="61" bestFit="1" customWidth="1"/>
    <col min="3" max="3" width="41.42578125" bestFit="1" customWidth="1"/>
    <col min="13" max="13" width="14.85546875" bestFit="1" customWidth="1"/>
    <col min="15" max="15" width="14.140625" bestFit="1" customWidth="1"/>
    <col min="17" max="17" width="20.85546875" bestFit="1" customWidth="1"/>
    <col min="21" max="21" width="9.140625" style="4"/>
    <col min="29" max="29" width="12" bestFit="1" customWidth="1"/>
    <col min="31" max="31" width="16.85546875" bestFit="1" customWidth="1"/>
    <col min="32" max="32" width="16.85546875" customWidth="1"/>
    <col min="33" max="37" width="16.42578125" style="4" customWidth="1"/>
    <col min="38" max="38" width="21" customWidth="1"/>
    <col min="39" max="40" width="16.42578125" style="4" customWidth="1"/>
    <col min="41" max="41" width="21" customWidth="1"/>
    <col min="42" max="45" width="16.42578125" style="4" customWidth="1"/>
    <col min="47" max="57" width="16.42578125" style="4" customWidth="1"/>
    <col min="60" max="60" width="24.140625" bestFit="1" customWidth="1"/>
    <col min="61" max="61" width="24.140625" style="42" customWidth="1"/>
    <col min="62" max="62" width="34" style="42" customWidth="1"/>
    <col min="63" max="63" width="32.7109375" style="42" bestFit="1" customWidth="1"/>
    <col min="64" max="65" width="32.7109375" style="42" customWidth="1"/>
    <col min="66" max="66" width="9.140625" style="42"/>
  </cols>
  <sheetData>
    <row r="1" spans="1:66" x14ac:dyDescent="0.25">
      <c r="A1" t="s">
        <v>79</v>
      </c>
      <c r="B1" t="s">
        <v>78</v>
      </c>
      <c r="C1" t="s">
        <v>2</v>
      </c>
      <c r="D1" t="s">
        <v>1</v>
      </c>
      <c r="E1" t="s">
        <v>3</v>
      </c>
      <c r="F1" t="s">
        <v>4</v>
      </c>
      <c r="G1" t="s">
        <v>5</v>
      </c>
      <c r="H1" t="s">
        <v>501</v>
      </c>
      <c r="I1" t="s">
        <v>502</v>
      </c>
      <c r="J1" t="s">
        <v>503</v>
      </c>
      <c r="K1" t="s">
        <v>504</v>
      </c>
      <c r="L1" t="s">
        <v>6</v>
      </c>
      <c r="M1" t="str">
        <f>L1&amp;"_adj"</f>
        <v>stage4_p_adj</v>
      </c>
      <c r="N1" t="s">
        <v>7</v>
      </c>
      <c r="O1" t="str">
        <f>N1&amp;"_adj"</f>
        <v>ps0_1_p_adj</v>
      </c>
      <c r="P1" t="s">
        <v>8</v>
      </c>
      <c r="Q1" t="str">
        <f>P1&amp;"_adj"</f>
        <v>histconfirmed_p_adj</v>
      </c>
      <c r="R1" t="s">
        <v>9</v>
      </c>
      <c r="S1" t="s">
        <v>513</v>
      </c>
      <c r="T1" t="s">
        <v>10</v>
      </c>
      <c r="U1" t="s">
        <v>505</v>
      </c>
      <c r="V1" t="s">
        <v>506</v>
      </c>
      <c r="W1" t="s">
        <v>507</v>
      </c>
      <c r="X1" t="s">
        <v>508</v>
      </c>
      <c r="Y1" t="s">
        <v>509</v>
      </c>
      <c r="Z1" t="s">
        <v>11</v>
      </c>
      <c r="AA1" t="s">
        <v>510</v>
      </c>
      <c r="AB1" t="s">
        <v>12</v>
      </c>
      <c r="AC1" t="str">
        <f>AB1&amp;"_adj"</f>
        <v>cns_p_adj</v>
      </c>
      <c r="AD1" t="s">
        <v>13</v>
      </c>
      <c r="AE1" t="s">
        <v>511</v>
      </c>
      <c r="AF1" t="s">
        <v>604</v>
      </c>
      <c r="AG1" s="32" t="s">
        <v>608</v>
      </c>
      <c r="AH1" s="32" t="s">
        <v>605</v>
      </c>
      <c r="AI1" s="32" t="s">
        <v>606</v>
      </c>
      <c r="AJ1" s="32" t="s">
        <v>607</v>
      </c>
      <c r="AK1" s="32" t="s">
        <v>609</v>
      </c>
      <c r="AL1" t="s">
        <v>613</v>
      </c>
      <c r="AM1" s="32" t="s">
        <v>612</v>
      </c>
      <c r="AN1" s="32" t="s">
        <v>611</v>
      </c>
      <c r="AO1" s="11" t="s">
        <v>438</v>
      </c>
      <c r="AP1" s="32" t="s">
        <v>442</v>
      </c>
      <c r="AQ1" s="32" t="s">
        <v>441</v>
      </c>
      <c r="AR1" s="32" t="s">
        <v>440</v>
      </c>
      <c r="AS1" s="32" t="s">
        <v>439</v>
      </c>
      <c r="AT1" t="s">
        <v>443</v>
      </c>
      <c r="AU1" s="32" t="s">
        <v>434</v>
      </c>
      <c r="AV1" s="32" t="s">
        <v>437</v>
      </c>
      <c r="AW1" s="32" t="s">
        <v>376</v>
      </c>
      <c r="AX1" s="32" t="s">
        <v>377</v>
      </c>
      <c r="AY1" s="32" t="s">
        <v>374</v>
      </c>
      <c r="AZ1" s="32" t="s">
        <v>375</v>
      </c>
      <c r="BA1" s="32" t="s">
        <v>433</v>
      </c>
      <c r="BB1" s="32" t="s">
        <v>380</v>
      </c>
      <c r="BC1" s="32" t="s">
        <v>381</v>
      </c>
      <c r="BD1" s="32" t="s">
        <v>378</v>
      </c>
      <c r="BE1" s="32" t="s">
        <v>379</v>
      </c>
      <c r="BF1" t="s">
        <v>444</v>
      </c>
      <c r="BG1" t="s">
        <v>519</v>
      </c>
      <c r="BH1" t="s">
        <v>445</v>
      </c>
      <c r="BI1" s="41" t="s">
        <v>446</v>
      </c>
      <c r="BJ1" s="41" t="s">
        <v>522</v>
      </c>
      <c r="BK1" s="41" t="s">
        <v>523</v>
      </c>
      <c r="BL1" s="41" t="s">
        <v>602</v>
      </c>
      <c r="BM1" s="41" t="s">
        <v>603</v>
      </c>
      <c r="BN1" s="43" t="s">
        <v>468</v>
      </c>
    </row>
    <row r="2" spans="1:66" x14ac:dyDescent="0.25">
      <c r="A2" t="s">
        <v>134</v>
      </c>
      <c r="B2" t="s">
        <v>133</v>
      </c>
      <c r="C2" t="s">
        <v>77</v>
      </c>
      <c r="D2" t="s">
        <v>75</v>
      </c>
      <c r="E2" s="2">
        <v>129</v>
      </c>
      <c r="F2" s="2">
        <v>116</v>
      </c>
      <c r="G2" s="2">
        <v>11</v>
      </c>
      <c r="H2" s="2">
        <v>25</v>
      </c>
      <c r="I2" s="2">
        <v>29</v>
      </c>
      <c r="J2" s="2">
        <v>21</v>
      </c>
      <c r="K2" s="2">
        <v>9</v>
      </c>
      <c r="L2" s="2">
        <v>46.774192810058594</v>
      </c>
      <c r="M2" s="46" t="str">
        <f>"NRA*"</f>
        <v>NRA*</v>
      </c>
      <c r="N2" s="2">
        <v>45.161289215087891</v>
      </c>
      <c r="O2" s="46" t="str">
        <f>"NRA*"</f>
        <v>NRA*</v>
      </c>
      <c r="P2" s="2">
        <v>100</v>
      </c>
      <c r="Q2" s="46" t="str">
        <f>"NRA*"</f>
        <v>NRA*</v>
      </c>
      <c r="R2" s="2">
        <v>12.931034088134766</v>
      </c>
      <c r="S2" s="2">
        <v>11.470969200134277</v>
      </c>
      <c r="T2" s="2">
        <v>63.636363983154297</v>
      </c>
      <c r="U2" s="4">
        <v>68.162246704101563</v>
      </c>
      <c r="V2" s="2">
        <v>82.758621215820313</v>
      </c>
      <c r="W2" s="2">
        <v>75.926971435546875</v>
      </c>
      <c r="X2" s="2"/>
      <c r="Y2" s="2"/>
      <c r="Z2" s="2">
        <v>71.428573608398438</v>
      </c>
      <c r="AA2" s="2">
        <v>63.768280029296875</v>
      </c>
      <c r="AB2" s="2">
        <v>94.495414733886719</v>
      </c>
      <c r="AC2" s="46" t="str">
        <f>"NRA*"</f>
        <v>NRA*</v>
      </c>
      <c r="AD2" s="2">
        <v>44.628097534179688</v>
      </c>
      <c r="AE2" s="2">
        <v>52.672279357910156</v>
      </c>
      <c r="AG2" s="33">
        <f>IF(AQ2&lt;10,"NR**",AQ2)</f>
        <v>129</v>
      </c>
      <c r="AH2" s="33" t="str" cm="1">
        <f t="array" ref="AH2">IF(AG2="NR**","NR**",INDEX(trust_indicator_data!$A$2:$BE$127,(ROW()-ROW(trust_indicator_data!$A$1:$BE$1)),MATCH(selected_indic_name_adj,trust_indicator_data!$A$1:$BE$1,0)))</f>
        <v>NRA*</v>
      </c>
      <c r="AI2" s="33" t="str">
        <f>IF(AG2="NR**","NR**",IF(AH2="NRA*","NRA*",RANK(AH2,AH:AH,1)+COUNTIF($AH$2:AH2,AH2)-1))</f>
        <v>NRA*</v>
      </c>
      <c r="AJ2" s="33" cm="1">
        <f t="array" ref="AJ2">IF(AG2="NR**","NR**",INDEX(trust_indicator_data!$A$2:$BE$127,(ROW()-ROW(trust_indicator_data!$A$1:$BE$1)),MATCH(selected_indic_name_unadj,trust_indicator_data!$A$1:$BE$1,0)))</f>
        <v>46.774192810058594</v>
      </c>
      <c r="AK2" s="33">
        <f>IF(AG2="NR**","NR**",RANK(trust_indicator_data!AJ2,AJ:AJ,1)+COUNTIF($AJ$2:AJ2,AJ2)-1)</f>
        <v>47</v>
      </c>
      <c r="AM2" s="33" cm="1">
        <f t="array" ref="AM2">IF(AQ2&lt;10,0,INDEX(trust_indicator_data!$A$2:$BE$127,(ROW()-ROW(trust_indicator_data!$A$1:$BE$1)),MATCH(selected_indic_name_unadj,trust_indicator_data!$A$1:$BE$1,0)))</f>
        <v>46.774192810058594</v>
      </c>
      <c r="AN2" s="33">
        <f>IF(AK2="NR**",0,AK2)</f>
        <v>47</v>
      </c>
      <c r="AO2" t="s">
        <v>372</v>
      </c>
      <c r="AP2" s="33">
        <f>RANK(trust_indicator_data!$AQ2,AQ2:AQ127,1)+COUNTIF($AQ$2:AQ2,AQ2)-1</f>
        <v>20</v>
      </c>
      <c r="AQ2" s="33" cm="1">
        <f t="array" ref="AQ2">INDEX(trust_indicator_data!$A$2:$BE$127,(ROW()-ROW(trust_indicator_data!$A$1:$BE$1)),MATCH(selected_indic_denom,trust_indicator_data!$A$1:$BE$1,0))</f>
        <v>129</v>
      </c>
      <c r="AR2" s="33" cm="1">
        <f t="array" ref="AR2">INDEX(trust_indicator_data!$A$2:$BE$127,(ROW()-ROW(trust_indicator_data!$A$1:$BE$1)),MATCH(selected_indic_name_unadj,trust_indicator_data!$A$1:$BE$1,0))/100</f>
        <v>0.46774192810058596</v>
      </c>
      <c r="AS2" s="33">
        <f>IF(AQ2&lt;10,NA(),trust_indicator_data!$AR2)</f>
        <v>0.46774192810058596</v>
      </c>
      <c r="AT2" t="s">
        <v>373</v>
      </c>
      <c r="AU2" s="33">
        <f>INDEX(table_national_indic,MATCH($AU$1,national_indicator_data!$A$1:$A$17,0),MATCH(selected_indic_name_unadj,national_indicator_data!$A$1:$R$1,0))</f>
        <v>0.47675243377685544</v>
      </c>
      <c r="AV2" s="33">
        <f>INDEX(table_national_indic,MATCH($AV$1,national_indicator_data!$A$1:$A$7,0),MATCH(selected_indic_name_unadj,national_indicator_data!$A$1:$R$1,0))</f>
        <v>0.76214221292766271</v>
      </c>
      <c r="AW2" s="33">
        <f t="shared" ref="AW2:AW33" si="0">MAX(0,$AV2-2*1/SQRT(4*$AQ2))</f>
        <v>0.67409712229510033</v>
      </c>
      <c r="AX2" s="33">
        <f t="shared" ref="AX2:AX33" si="1">MAX(0,$AV2+2*1/SQRT(4*$AQ2))</f>
        <v>0.85018730356022509</v>
      </c>
      <c r="AY2" s="33">
        <f t="shared" ref="AY2:AY33" si="2">MAX(0,$AV2-3*1/SQRT(4*$AQ2))</f>
        <v>0.63007457697881919</v>
      </c>
      <c r="AZ2" s="33">
        <f t="shared" ref="AZ2:AZ33" si="3">MAX(0,$AV2+3*1/SQRT(4*$AQ2))</f>
        <v>0.89420984887650623</v>
      </c>
      <c r="BA2" s="33">
        <f>INDEX(table_national_indic,MATCH($BA$1,national_indicator_data!$A$1:$A$7,0),MATCH(selected_indic_name_unadj,national_indicator_data!$A$1:$R$1,0))</f>
        <v>0</v>
      </c>
      <c r="BB2" s="33">
        <f t="shared" ref="BB2:BB33" si="4">IF($AQ2&lt;2,1,IF(BA2=-1,1-SIN(AW2)^2,SIN(AW2)^2))</f>
        <v>0.38961587659791991</v>
      </c>
      <c r="BC2" s="33">
        <f>IF($AQ2&lt;1,0,IF(BA2=-1,1-SIN(AX2)^2,SIN(AX2)^2))</f>
        <v>0.56460798497276299</v>
      </c>
      <c r="BD2" s="33">
        <f>IF($AQ2&lt;2,1,IF(BA2=-1,1-SIN(AY2)^2,SIN(AY2)^2))</f>
        <v>0.34716255153270065</v>
      </c>
      <c r="BE2" s="33">
        <f>IF($AQ2&lt;2,0,IF(BA2=-1,1-SIN(AZ2)^2,SIN(AZ2)^2))</f>
        <v>0.60795483136212491</v>
      </c>
      <c r="BG2">
        <v>1</v>
      </c>
      <c r="BH2">
        <f t="shared" ref="BH2:BH33" si="5">IF(ISNA(VLOOKUP($BG2,$AP$2:$AS$127,2,FALSE)),$BH$1,VLOOKUP($BG2,$AP$2:$AS$127,2,FALSE))</f>
        <v>26</v>
      </c>
      <c r="BI2" s="42">
        <f>IF(ISNA(VLOOKUP($BG2,$AP$2:$AS$127,4,FALSE)),NA(),VLOOKUP($BG2,$AP$2:$AS$127,4,FALSE))</f>
        <v>0</v>
      </c>
      <c r="BJ2" s="42">
        <f>IF(ISNA(VLOOKUP($BG2,$AP$2:$BE$127,13,FALSE)),$BH$1,VLOOKUP($BG2,$AP$2:$BE$127,13,FALSE))</f>
        <v>0.28759854184611461</v>
      </c>
      <c r="BK2" s="42">
        <f>IF(ISNA(VLOOKUP($BG2,$AP$2:$BE$127,14,FALSE)),$BH$1,VLOOKUP($BG2,$AP$2:$BE$127,14,FALSE))</f>
        <v>0.66943725566914825</v>
      </c>
      <c r="BL2" s="42">
        <f>IF(ISNA(VLOOKUP($BG2,$AP$2:$BE$127,15,FALSE)),$BH$1,VLOOKUP($BG2,$AP$2:$BE$127,15,FALSE))</f>
        <v>0.2034674774160101</v>
      </c>
      <c r="BM2" s="42">
        <f>IF(ISNA(VLOOKUP($BG2,$AP$2:$BE$127,16,FALSE)),$BH$1,VLOOKUP($BG2,$AP$2:$BE$127,16,FALSE))</f>
        <v>0.75785515478685761</v>
      </c>
      <c r="BN2" s="42">
        <f>AU2</f>
        <v>0.47675243377685544</v>
      </c>
    </row>
    <row r="3" spans="1:66" x14ac:dyDescent="0.25">
      <c r="A3" t="s">
        <v>272</v>
      </c>
      <c r="B3" t="s">
        <v>271</v>
      </c>
      <c r="C3" t="s">
        <v>63</v>
      </c>
      <c r="D3" t="s">
        <v>61</v>
      </c>
      <c r="E3" s="2">
        <v>167</v>
      </c>
      <c r="F3" s="2">
        <v>155</v>
      </c>
      <c r="G3" s="2">
        <v>12</v>
      </c>
      <c r="H3" s="2">
        <v>17</v>
      </c>
      <c r="I3" s="2">
        <v>22</v>
      </c>
      <c r="J3" s="2">
        <v>38</v>
      </c>
      <c r="K3" s="2">
        <v>11</v>
      </c>
      <c r="L3" s="2">
        <v>51.851852416992188</v>
      </c>
      <c r="M3" s="46" t="str">
        <f t="shared" ref="M3:M66" si="6">"NRA*"</f>
        <v>NRA*</v>
      </c>
      <c r="N3" s="2">
        <v>70.370368957519531</v>
      </c>
      <c r="O3" s="46" t="str">
        <f t="shared" ref="O3:O66" si="7">"NRA*"</f>
        <v>NRA*</v>
      </c>
      <c r="P3" s="2">
        <v>64.705879211425781</v>
      </c>
      <c r="Q3" s="46" t="str">
        <f t="shared" ref="Q3:Q66" si="8">"NRA*"</f>
        <v>NRA*</v>
      </c>
      <c r="R3" s="2">
        <v>20</v>
      </c>
      <c r="S3" s="2">
        <v>24.077205657958984</v>
      </c>
      <c r="T3" s="2">
        <v>58.333332061767578</v>
      </c>
      <c r="U3" s="4">
        <v>55.452537536621094</v>
      </c>
      <c r="V3" s="2">
        <v>81.818183898925781</v>
      </c>
      <c r="W3" s="2">
        <v>85.581298828125</v>
      </c>
      <c r="X3" s="2">
        <v>81.818183898925781</v>
      </c>
      <c r="Y3" s="2">
        <v>63.983882904052734</v>
      </c>
      <c r="Z3" s="2">
        <v>73.684211730957031</v>
      </c>
      <c r="AA3" s="2">
        <v>76.400077819824219</v>
      </c>
      <c r="AB3" s="2">
        <v>100</v>
      </c>
      <c r="AC3" s="46" t="str">
        <f t="shared" ref="AC3:AC66" si="9">"NRA*"</f>
        <v>NRA*</v>
      </c>
      <c r="AD3" s="2">
        <v>33.757961273193359</v>
      </c>
      <c r="AE3" s="2">
        <v>35.323589324951172</v>
      </c>
      <c r="AF3" s="2"/>
      <c r="AG3" s="4">
        <f t="shared" ref="AG3:AG66" si="10">IF(AQ3&lt;10,"NR**",AQ3)</f>
        <v>167</v>
      </c>
      <c r="AH3" s="4" t="str" cm="1">
        <f t="array" ref="AH3">IF(AG3="NR**","NR**",INDEX(trust_indicator_data!$A$2:$BE$127,(ROW()-ROW(trust_indicator_data!$A$1:$BE$1)),MATCH(selected_indic_name_adj,trust_indicator_data!$A$1:$BE$1,0)))</f>
        <v>NRA*</v>
      </c>
      <c r="AI3" s="4" t="str">
        <f>IF(AG3="NR**","NR**",IF(AH3="NRA*","NRA*",RANK(AH3,AH:AH,1)+COUNTIF($AH$2:AH3,AH3)-1))</f>
        <v>NRA*</v>
      </c>
      <c r="AJ3" s="4" cm="1">
        <f t="array" ref="AJ3">IF(AG3="NR**","NR**",INDEX(trust_indicator_data!$A$2:$BE$127,(ROW()-ROW(trust_indicator_data!$A$1:$BE$1)),MATCH(selected_indic_name_unadj,trust_indicator_data!$A$1:$BE$1,0)))</f>
        <v>51.851852416992188</v>
      </c>
      <c r="AK3" s="4">
        <f>IF(AG3="NR**","NR**",RANK(trust_indicator_data!AJ3,AJ:AJ,1)+COUNTIF($AJ$2:AJ3,AJ3)-1)</f>
        <v>81</v>
      </c>
      <c r="AM3" s="4" cm="1">
        <f t="array" ref="AM3">IF(AQ3&lt;10,0,INDEX(trust_indicator_data!$A$2:$BE$127,(ROW()-ROW(trust_indicator_data!$A$1:$BE$1)),MATCH(selected_indic_name_unadj,trust_indicator_data!$A$1:$BE$1,0)))</f>
        <v>51.851852416992188</v>
      </c>
      <c r="AN3" s="4">
        <f t="shared" ref="AN3:AN66" si="11">IF(AK3="NR**",0,AK3)</f>
        <v>81</v>
      </c>
      <c r="AP3" s="4">
        <f>RANK(trust_indicator_data!$AQ3,AQ:AQ,1)+COUNTIF($AQ$2:AQ3,AQ3)-1</f>
        <v>31</v>
      </c>
      <c r="AQ3" s="4" cm="1">
        <f t="array" ref="AQ3">INDEX(trust_indicator_data!$A$2:$BE$127,(ROW()-ROW(trust_indicator_data!$A$1:$BE$1)),MATCH(selected_indic_denom,trust_indicator_data!$A$1:$BE$1,0))</f>
        <v>167</v>
      </c>
      <c r="AR3" s="4" cm="1">
        <f t="array" ref="AR3">INDEX(trust_indicator_data!$A$2:$BE$127,(ROW()-ROW(trust_indicator_data!$A$1:$BE$1)),MATCH(selected_indic_name_unadj,trust_indicator_data!$A$1:$BE$1,0))/100</f>
        <v>0.51851852416992184</v>
      </c>
      <c r="AS3" s="4">
        <f>IF(AQ3&lt;10,NA(),trust_indicator_data!$AR3)</f>
        <v>0.51851852416992184</v>
      </c>
      <c r="AU3" s="4">
        <f>INDEX(table_national_indic,MATCH($AU$1,national_indicator_data!$A$1:$A$17,0),MATCH(selected_indic_name_unadj,national_indicator_data!$A$1:$R$1,0))</f>
        <v>0.47675243377685544</v>
      </c>
      <c r="AV3" s="4">
        <f>INDEX(table_national_indic,MATCH($AV$1,national_indicator_data!$A$1:$A$7,0),MATCH(selected_indic_name_unadj,national_indicator_data!$A$1:$R$1,0))</f>
        <v>0.76214221292766271</v>
      </c>
      <c r="AW3" s="4">
        <f t="shared" si="0"/>
        <v>0.68475988967424906</v>
      </c>
      <c r="AX3" s="4">
        <f t="shared" si="1"/>
        <v>0.83952453618107636</v>
      </c>
      <c r="AY3" s="4">
        <f t="shared" si="2"/>
        <v>0.64606872804754223</v>
      </c>
      <c r="AZ3" s="4">
        <f t="shared" si="3"/>
        <v>0.87821569780778319</v>
      </c>
      <c r="BA3" s="4">
        <f>INDEX(table_national_indic,MATCH($BA$1,national_indicator_data!$A$1:$A$7,0),MATCH(selected_indic_name_unadj,national_indicator_data!$A$1:$R$1,0))</f>
        <v>0</v>
      </c>
      <c r="BB3" s="4">
        <f t="shared" si="4"/>
        <v>0.40003986496529664</v>
      </c>
      <c r="BC3" s="4">
        <f t="shared" ref="BC3:BC66" si="12">IF($AQ3&lt;1,0,IF(BA3=-1,1-SIN(AX3)^2,SIN(AX3)^2))</f>
        <v>0.55402071997589386</v>
      </c>
      <c r="BD3" s="4">
        <f t="shared" ref="BD3:BD66" si="13">IF($AQ3&lt;2,1,IF(BA3=-1,1-SIN(AY3)^2,SIN(AY3)^2))</f>
        <v>0.36246674959368669</v>
      </c>
      <c r="BE3" s="4">
        <f t="shared" ref="BE3:BE66" si="14">IF($AQ3&lt;2,0,IF(BA3=-1,1-SIN(AZ3)^2,SIN(AZ3)^2))</f>
        <v>0.59228536427880196</v>
      </c>
      <c r="BG3">
        <f t="shared" ref="BG3:BG34" si="15">BG2+1</f>
        <v>2</v>
      </c>
      <c r="BH3">
        <f t="shared" si="5"/>
        <v>48</v>
      </c>
      <c r="BI3" s="42">
        <f t="shared" ref="BI3:BI66" si="16">IF(ISNA(VLOOKUP($BG3,$AP$2:$AS$127,4,FALSE)),NA(),VLOOKUP($BG3,$AP$2:$AS$127,4,FALSE))</f>
        <v>0.51282051086425784</v>
      </c>
      <c r="BJ3" s="42">
        <f t="shared" ref="BJ3:BJ66" si="17">IF(ISNA(VLOOKUP($BG3,$AP$2:$BE$127,13,FALSE)),$BH$1,VLOOKUP($BG3,$AP$2:$BE$127,13,FALSE))</f>
        <v>0.33552709879536813</v>
      </c>
      <c r="BK3" s="42">
        <f t="shared" ref="BK3:BK66" si="18">IF(ISNA(VLOOKUP($BG3,$AP$2:$BE$127,14,FALSE)),$BH$1,VLOOKUP($BG3,$AP$2:$BE$127,14,FALSE))</f>
        <v>0.61990164980607154</v>
      </c>
      <c r="BL3" s="42">
        <f t="shared" ref="BL3:BL66" si="19">IF(ISNA(VLOOKUP($BG3,$AP$2:$BE$127,15,FALSE)),$BH$1,VLOOKUP($BG3,$AP$2:$BE$127,15,FALSE))</f>
        <v>0.26932127574937736</v>
      </c>
      <c r="BM3" s="42">
        <f t="shared" ref="BM3:BM66" si="20">IF(ISNA(VLOOKUP($BG3,$AP$2:$BE$127,16,FALSE)),$BH$1,VLOOKUP($BG3,$AP$2:$BE$127,16,FALSE))</f>
        <v>0.6884748266203663</v>
      </c>
      <c r="BN3" s="42">
        <f t="shared" ref="BN3:BN66" si="21">AU3</f>
        <v>0.47675243377685544</v>
      </c>
    </row>
    <row r="4" spans="1:66" x14ac:dyDescent="0.25">
      <c r="A4" t="s">
        <v>152</v>
      </c>
      <c r="B4" t="s">
        <v>151</v>
      </c>
      <c r="C4" t="s">
        <v>45</v>
      </c>
      <c r="D4" t="s">
        <v>43</v>
      </c>
      <c r="E4" s="2">
        <v>260</v>
      </c>
      <c r="F4" s="2">
        <v>237</v>
      </c>
      <c r="G4" s="2">
        <v>18</v>
      </c>
      <c r="H4" s="2">
        <v>17</v>
      </c>
      <c r="I4" s="2">
        <v>19</v>
      </c>
      <c r="J4" s="2">
        <v>69</v>
      </c>
      <c r="K4" s="2">
        <v>18</v>
      </c>
      <c r="L4" s="2">
        <v>58.547008514404297</v>
      </c>
      <c r="M4" s="46" t="str">
        <f t="shared" si="6"/>
        <v>NRA*</v>
      </c>
      <c r="N4" s="2">
        <v>54.901962280273438</v>
      </c>
      <c r="O4" s="46" t="str">
        <f t="shared" si="7"/>
        <v>NRA*</v>
      </c>
      <c r="P4" s="2">
        <v>100</v>
      </c>
      <c r="Q4" s="46" t="str">
        <f t="shared" si="8"/>
        <v>NRA*</v>
      </c>
      <c r="R4" s="2">
        <v>10.126582145690918</v>
      </c>
      <c r="S4" s="2">
        <v>17.592967987060547</v>
      </c>
      <c r="T4" s="2">
        <v>88.888885498046875</v>
      </c>
      <c r="U4" s="4">
        <v>81.572639465332031</v>
      </c>
      <c r="V4" s="2">
        <v>73.684211730957031</v>
      </c>
      <c r="W4" s="2">
        <v>78.832275390625</v>
      </c>
      <c r="X4" s="2">
        <v>61.111110687255859</v>
      </c>
      <c r="Y4" s="2">
        <v>62.465648651123047</v>
      </c>
      <c r="Z4" s="2">
        <v>75.362319946289063</v>
      </c>
      <c r="AA4" s="2">
        <v>73.209190368652344</v>
      </c>
      <c r="AB4" s="2">
        <v>100</v>
      </c>
      <c r="AC4" s="46" t="str">
        <f t="shared" si="9"/>
        <v>NRA*</v>
      </c>
      <c r="AD4" s="2">
        <v>45.173744201660156</v>
      </c>
      <c r="AE4" s="2">
        <v>41.148323059082031</v>
      </c>
      <c r="AF4" s="2"/>
      <c r="AG4" s="34">
        <f t="shared" si="10"/>
        <v>260</v>
      </c>
      <c r="AH4" s="34" t="str" cm="1">
        <f t="array" ref="AH4">IF(AG4="NR**","NR**",INDEX(trust_indicator_data!$A$2:$BE$127,(ROW()-ROW(trust_indicator_data!$A$1:$BE$1)),MATCH(selected_indic_name_adj,trust_indicator_data!$A$1:$BE$1,0)))</f>
        <v>NRA*</v>
      </c>
      <c r="AI4" s="34" t="str">
        <f>IF(AG4="NR**","NR**",IF(AH4="NRA*","NRA*",RANK(AH4,AH:AH,1)+COUNTIF($AH$2:AH4,AH4)-1))</f>
        <v>NRA*</v>
      </c>
      <c r="AJ4" s="34" cm="1">
        <f t="array" ref="AJ4">IF(AG4="NR**","NR**",INDEX(trust_indicator_data!$A$2:$BE$127,(ROW()-ROW(trust_indicator_data!$A$1:$BE$1)),MATCH(selected_indic_name_unadj,trust_indicator_data!$A$1:$BE$1,0)))</f>
        <v>58.547008514404297</v>
      </c>
      <c r="AK4" s="34">
        <f>IF(AG4="NR**","NR**",RANK(trust_indicator_data!AJ4,AJ:AJ,1)+COUNTIF($AJ$2:AJ4,AJ4)-1)</f>
        <v>115</v>
      </c>
      <c r="AM4" s="34" cm="1">
        <f t="array" ref="AM4">IF(AQ4&lt;10,0,INDEX(trust_indicator_data!$A$2:$BE$127,(ROW()-ROW(trust_indicator_data!$A$1:$BE$1)),MATCH(selected_indic_name_unadj,trust_indicator_data!$A$1:$BE$1,0)))</f>
        <v>58.547008514404297</v>
      </c>
      <c r="AN4" s="34">
        <f t="shared" si="11"/>
        <v>115</v>
      </c>
      <c r="AP4" s="34">
        <f>RANK(trust_indicator_data!$AQ4,AQ:AQ,1)+COUNTIF($AQ$2:AQ4,AQ4)-1</f>
        <v>71</v>
      </c>
      <c r="AQ4" s="34" cm="1">
        <f t="array" ref="AQ4">INDEX(trust_indicator_data!$A$2:$BE$127,(ROW()-ROW(trust_indicator_data!$A$1:$BE$1)),MATCH(selected_indic_denom,trust_indicator_data!$A$1:$BE$1,0))</f>
        <v>260</v>
      </c>
      <c r="AR4" s="34" cm="1">
        <f t="array" ref="AR4">INDEX(trust_indicator_data!$A$2:$BE$127,(ROW()-ROW(trust_indicator_data!$A$1:$BE$1)),MATCH(selected_indic_name_unadj,trust_indicator_data!$A$1:$BE$1,0))/100</f>
        <v>0.58547008514404297</v>
      </c>
      <c r="AS4" s="34">
        <f>IF(AQ4&lt;10,NA(),trust_indicator_data!$AR4)</f>
        <v>0.58547008514404297</v>
      </c>
      <c r="AU4" s="34">
        <f>INDEX(table_national_indic,MATCH($AU$1,national_indicator_data!$A$1:$A$17,0),MATCH(selected_indic_name_unadj,national_indicator_data!$A$1:$R$1,0))</f>
        <v>0.47675243377685544</v>
      </c>
      <c r="AV4" s="34">
        <f>INDEX(table_national_indic,MATCH($AV$1,national_indicator_data!$A$1:$A$7,0),MATCH(selected_indic_name_unadj,national_indicator_data!$A$1:$R$1,0))</f>
        <v>0.76214221292766271</v>
      </c>
      <c r="AW4" s="34">
        <f t="shared" si="0"/>
        <v>0.70012484563305843</v>
      </c>
      <c r="AX4" s="34">
        <f t="shared" si="1"/>
        <v>0.82415958022226699</v>
      </c>
      <c r="AY4" s="34">
        <f t="shared" si="2"/>
        <v>0.66911616198575641</v>
      </c>
      <c r="AZ4" s="34">
        <f t="shared" si="3"/>
        <v>0.85516826386956901</v>
      </c>
      <c r="BA4" s="34">
        <f>INDEX(table_national_indic,MATCH($BA$1,national_indicator_data!$A$1:$A$7,0),MATCH(selected_indic_name_unadj,national_indicator_data!$A$1:$R$1,0))</f>
        <v>0</v>
      </c>
      <c r="BB4" s="34">
        <f t="shared" si="4"/>
        <v>0.41513946029317017</v>
      </c>
      <c r="BC4" s="34">
        <f t="shared" si="12"/>
        <v>0.53872260382871395</v>
      </c>
      <c r="BD4" s="34">
        <f t="shared" si="13"/>
        <v>0.38476337259432264</v>
      </c>
      <c r="BE4" s="34">
        <f t="shared" si="14"/>
        <v>0.56954389976472908</v>
      </c>
      <c r="BG4">
        <f t="shared" si="15"/>
        <v>3</v>
      </c>
      <c r="BH4">
        <f t="shared" si="5"/>
        <v>57</v>
      </c>
      <c r="BI4" s="42">
        <f t="shared" si="16"/>
        <v>0.28571428298950197</v>
      </c>
      <c r="BJ4" s="42">
        <f t="shared" si="17"/>
        <v>0.34679545362945191</v>
      </c>
      <c r="BK4" s="42">
        <f t="shared" si="18"/>
        <v>0.60833130397047364</v>
      </c>
      <c r="BL4" s="42">
        <f t="shared" si="19"/>
        <v>0.28528044606387243</v>
      </c>
      <c r="BM4" s="42">
        <f t="shared" si="20"/>
        <v>0.6718470450590166</v>
      </c>
      <c r="BN4" s="42">
        <f t="shared" si="21"/>
        <v>0.47675243377685544</v>
      </c>
    </row>
    <row r="5" spans="1:66" x14ac:dyDescent="0.25">
      <c r="A5" t="s">
        <v>154</v>
      </c>
      <c r="B5" t="s">
        <v>153</v>
      </c>
      <c r="C5" t="s">
        <v>60</v>
      </c>
      <c r="D5" t="s">
        <v>58</v>
      </c>
      <c r="E5" s="2">
        <v>208</v>
      </c>
      <c r="F5" s="2">
        <v>179</v>
      </c>
      <c r="G5" s="2">
        <v>29</v>
      </c>
      <c r="H5" s="2">
        <v>18</v>
      </c>
      <c r="I5" s="2">
        <v>30</v>
      </c>
      <c r="J5" s="2">
        <v>60</v>
      </c>
      <c r="K5" s="2">
        <v>14</v>
      </c>
      <c r="L5" s="2">
        <v>58.208953857421875</v>
      </c>
      <c r="M5" s="46" t="str">
        <f t="shared" si="6"/>
        <v>NRA*</v>
      </c>
      <c r="N5" s="2">
        <v>50.5</v>
      </c>
      <c r="O5" s="46" t="str">
        <f t="shared" si="7"/>
        <v>NRA*</v>
      </c>
      <c r="P5" s="2">
        <v>66.666664123535156</v>
      </c>
      <c r="Q5" s="46" t="str">
        <f t="shared" si="8"/>
        <v>NRA*</v>
      </c>
      <c r="R5" s="2">
        <v>9.4972066879272461</v>
      </c>
      <c r="S5" s="2">
        <v>14.208246231079102</v>
      </c>
      <c r="T5" s="2">
        <v>68.96551513671875</v>
      </c>
      <c r="U5" s="4">
        <v>72.795379638671875</v>
      </c>
      <c r="V5" s="2">
        <v>80</v>
      </c>
      <c r="W5" s="2">
        <v>92.904525756835938</v>
      </c>
      <c r="X5" s="2">
        <v>57.142856597900391</v>
      </c>
      <c r="Y5" s="2">
        <v>58.266647338867188</v>
      </c>
      <c r="Z5" s="2">
        <v>73.333335876464844</v>
      </c>
      <c r="AA5" s="2">
        <v>69.871871948242188</v>
      </c>
      <c r="AB5" s="2">
        <v>96.402877807617188</v>
      </c>
      <c r="AC5" s="46" t="str">
        <f t="shared" si="9"/>
        <v>NRA*</v>
      </c>
      <c r="AD5" s="2">
        <v>52.820514678955078</v>
      </c>
      <c r="AE5" s="2">
        <v>50.626384735107422</v>
      </c>
      <c r="AF5" s="2"/>
      <c r="AG5" s="4">
        <f t="shared" si="10"/>
        <v>208</v>
      </c>
      <c r="AH5" s="4" t="str" cm="1">
        <f t="array" ref="AH5">IF(AG5="NR**","NR**",INDEX(trust_indicator_data!$A$2:$BE$127,(ROW()-ROW(trust_indicator_data!$A$1:$BE$1)),MATCH(selected_indic_name_adj,trust_indicator_data!$A$1:$BE$1,0)))</f>
        <v>NRA*</v>
      </c>
      <c r="AI5" s="4" t="str">
        <f>IF(AG5="NR**","NR**",IF(AH5="NRA*","NRA*",RANK(AH5,AH:AH,1)+COUNTIF($AH$2:AH5,AH5)-1))</f>
        <v>NRA*</v>
      </c>
      <c r="AJ5" s="4" cm="1">
        <f t="array" ref="AJ5">IF(AG5="NR**","NR**",INDEX(trust_indicator_data!$A$2:$BE$127,(ROW()-ROW(trust_indicator_data!$A$1:$BE$1)),MATCH(selected_indic_name_unadj,trust_indicator_data!$A$1:$BE$1,0)))</f>
        <v>58.208953857421875</v>
      </c>
      <c r="AK5" s="4">
        <f>IF(AG5="NR**","NR**",RANK(trust_indicator_data!AJ5,AJ:AJ,1)+COUNTIF($AJ$2:AJ5,AJ5)-1)</f>
        <v>112</v>
      </c>
      <c r="AM5" s="4" cm="1">
        <f t="array" ref="AM5">IF(AQ5&lt;10,0,INDEX(trust_indicator_data!$A$2:$BE$127,(ROW()-ROW(trust_indicator_data!$A$1:$BE$1)),MATCH(selected_indic_name_unadj,trust_indicator_data!$A$1:$BE$1,0)))</f>
        <v>58.208953857421875</v>
      </c>
      <c r="AN5" s="4">
        <f t="shared" si="11"/>
        <v>112</v>
      </c>
      <c r="AP5" s="4">
        <f>RANK(trust_indicator_data!$AQ5,AQ:AQ,1)+COUNTIF($AQ$2:AQ5,AQ5)-1</f>
        <v>45</v>
      </c>
      <c r="AQ5" s="4" cm="1">
        <f t="array" ref="AQ5">INDEX(trust_indicator_data!$A$2:$BE$127,(ROW()-ROW(trust_indicator_data!$A$1:$BE$1)),MATCH(selected_indic_denom,trust_indicator_data!$A$1:$BE$1,0))</f>
        <v>208</v>
      </c>
      <c r="AR5" s="4" cm="1">
        <f t="array" ref="AR5">INDEX(trust_indicator_data!$A$2:$BE$127,(ROW()-ROW(trust_indicator_data!$A$1:$BE$1)),MATCH(selected_indic_name_unadj,trust_indicator_data!$A$1:$BE$1,0))/100</f>
        <v>0.58208953857421875</v>
      </c>
      <c r="AS5" s="4">
        <f>IF(AQ5&lt;10,NA(),trust_indicator_data!$AR5)</f>
        <v>0.58208953857421875</v>
      </c>
      <c r="AU5" s="4">
        <f>INDEX(table_national_indic,MATCH($AU$1,national_indicator_data!$A$1:$A$17,0),MATCH(selected_indic_name_unadj,national_indicator_data!$A$1:$R$1,0))</f>
        <v>0.47675243377685544</v>
      </c>
      <c r="AV5" s="4">
        <f>INDEX(table_national_indic,MATCH($AV$1,national_indicator_data!$A$1:$A$7,0),MATCH(selected_indic_name_unadj,national_indicator_data!$A$1:$R$1,0))</f>
        <v>0.76214221292766271</v>
      </c>
      <c r="AW5" s="4">
        <f t="shared" si="0"/>
        <v>0.69280468839950904</v>
      </c>
      <c r="AX5" s="4">
        <f t="shared" si="1"/>
        <v>0.83147973745581638</v>
      </c>
      <c r="AY5" s="4">
        <f t="shared" si="2"/>
        <v>0.65813592613543226</v>
      </c>
      <c r="AZ5" s="4">
        <f t="shared" si="3"/>
        <v>0.86614849971989316</v>
      </c>
      <c r="BA5" s="4">
        <f>INDEX(table_national_indic,MATCH($BA$1,national_indicator_data!$A$1:$A$7,0),MATCH(selected_indic_name_unadj,national_indicator_data!$A$1:$R$1,0))</f>
        <v>0</v>
      </c>
      <c r="BB5" s="4">
        <f t="shared" si="4"/>
        <v>0.40793485487975922</v>
      </c>
      <c r="BC5" s="4">
        <f t="shared" si="12"/>
        <v>0.54601636525821517</v>
      </c>
      <c r="BD5" s="4">
        <f t="shared" si="13"/>
        <v>0.37410738420848461</v>
      </c>
      <c r="BE5" s="4">
        <f t="shared" si="14"/>
        <v>0.58039976582145103</v>
      </c>
      <c r="BG5">
        <f t="shared" si="15"/>
        <v>4</v>
      </c>
      <c r="BH5">
        <f t="shared" si="5"/>
        <v>83</v>
      </c>
      <c r="BI5" s="42">
        <f t="shared" si="16"/>
        <v>0.50617282867431646</v>
      </c>
      <c r="BJ5" s="42">
        <f t="shared" si="17"/>
        <v>0.36854338568009137</v>
      </c>
      <c r="BK5" s="42">
        <f t="shared" si="18"/>
        <v>0.58607735427633023</v>
      </c>
      <c r="BL5" s="42">
        <f t="shared" si="19"/>
        <v>0.31648941392943242</v>
      </c>
      <c r="BM5" s="42">
        <f t="shared" si="20"/>
        <v>0.63951357773290851</v>
      </c>
      <c r="BN5" s="42">
        <f t="shared" si="21"/>
        <v>0.47675243377685544</v>
      </c>
    </row>
    <row r="6" spans="1:66" x14ac:dyDescent="0.25">
      <c r="A6" t="s">
        <v>89</v>
      </c>
      <c r="B6" t="s">
        <v>88</v>
      </c>
      <c r="C6" t="s">
        <v>45</v>
      </c>
      <c r="D6" t="s">
        <v>43</v>
      </c>
      <c r="E6" s="2">
        <v>432</v>
      </c>
      <c r="F6" s="2">
        <v>396</v>
      </c>
      <c r="G6" s="2">
        <v>25</v>
      </c>
      <c r="H6" s="2">
        <v>71</v>
      </c>
      <c r="I6" s="2">
        <v>74</v>
      </c>
      <c r="J6" s="2">
        <v>34</v>
      </c>
      <c r="K6" s="2">
        <v>14</v>
      </c>
      <c r="L6" s="2">
        <v>37.027706146240234</v>
      </c>
      <c r="M6" s="46" t="str">
        <f t="shared" si="6"/>
        <v>NRA*</v>
      </c>
      <c r="N6" s="2">
        <v>78.481010437011719</v>
      </c>
      <c r="O6" s="46" t="str">
        <f t="shared" si="7"/>
        <v>NRA*</v>
      </c>
      <c r="P6" s="2">
        <v>98.591552734375</v>
      </c>
      <c r="Q6" s="46" t="str">
        <f t="shared" si="8"/>
        <v>NRA*</v>
      </c>
      <c r="R6" s="2">
        <v>43.434345245361328</v>
      </c>
      <c r="S6" s="2">
        <v>26.193044662475586</v>
      </c>
      <c r="T6" s="2">
        <v>68</v>
      </c>
      <c r="U6" s="4">
        <v>72.129753112792969</v>
      </c>
      <c r="V6" s="2">
        <v>90.540542602539063</v>
      </c>
      <c r="W6" s="2">
        <v>80.227447509765625</v>
      </c>
      <c r="X6" s="2">
        <v>85.714286804199219</v>
      </c>
      <c r="Y6" s="2">
        <v>75.818649291992188</v>
      </c>
      <c r="Z6" s="2">
        <v>67.647056579589844</v>
      </c>
      <c r="AA6" s="2">
        <v>64.487312316894531</v>
      </c>
      <c r="AB6" s="2">
        <v>92.400001525878906</v>
      </c>
      <c r="AC6" s="46" t="str">
        <f t="shared" si="9"/>
        <v>NRA*</v>
      </c>
      <c r="AD6" s="2">
        <v>36.893203735351563</v>
      </c>
      <c r="AE6" s="2">
        <v>44.629627227783203</v>
      </c>
      <c r="AF6" s="2"/>
      <c r="AG6" s="34">
        <f t="shared" si="10"/>
        <v>432</v>
      </c>
      <c r="AH6" s="34" t="str" cm="1">
        <f t="array" ref="AH6">IF(AG6="NR**","NR**",INDEX(trust_indicator_data!$A$2:$BE$127,(ROW()-ROW(trust_indicator_data!$A$1:$BE$1)),MATCH(selected_indic_name_adj,trust_indicator_data!$A$1:$BE$1,0)))</f>
        <v>NRA*</v>
      </c>
      <c r="AI6" s="34" t="str">
        <f>IF(AG6="NR**","NR**",IF(AH6="NRA*","NRA*",RANK(AH6,AH:AH,1)+COUNTIF($AH$2:AH6,AH6)-1))</f>
        <v>NRA*</v>
      </c>
      <c r="AJ6" s="34" cm="1">
        <f t="array" ref="AJ6">IF(AG6="NR**","NR**",INDEX(trust_indicator_data!$A$2:$BE$127,(ROW()-ROW(trust_indicator_data!$A$1:$BE$1)),MATCH(selected_indic_name_unadj,trust_indicator_data!$A$1:$BE$1,0)))</f>
        <v>37.027706146240234</v>
      </c>
      <c r="AK6" s="34">
        <f>IF(AG6="NR**","NR**",RANK(trust_indicator_data!AJ6,AJ:AJ,1)+COUNTIF($AJ$2:AJ6,AJ6)-1)</f>
        <v>10</v>
      </c>
      <c r="AM6" s="34" cm="1">
        <f t="array" ref="AM6">IF(AQ6&lt;10,0,INDEX(trust_indicator_data!$A$2:$BE$127,(ROW()-ROW(trust_indicator_data!$A$1:$BE$1)),MATCH(selected_indic_name_unadj,trust_indicator_data!$A$1:$BE$1,0)))</f>
        <v>37.027706146240234</v>
      </c>
      <c r="AN6" s="34">
        <f t="shared" si="11"/>
        <v>10</v>
      </c>
      <c r="AO6" s="2"/>
      <c r="AP6" s="34">
        <f>RANK(trust_indicator_data!$AQ6,AQ:AQ,1)+COUNTIF($AQ$2:AQ6,AQ6)-1</f>
        <v>111</v>
      </c>
      <c r="AQ6" s="34" cm="1">
        <f t="array" ref="AQ6">INDEX(trust_indicator_data!$A$2:$BE$127,(ROW()-ROW(trust_indicator_data!$A$1:$BE$1)),MATCH(selected_indic_denom,trust_indicator_data!$A$1:$BE$1,0))</f>
        <v>432</v>
      </c>
      <c r="AR6" s="34" cm="1">
        <f t="array" ref="AR6">INDEX(trust_indicator_data!$A$2:$BE$127,(ROW()-ROW(trust_indicator_data!$A$1:$BE$1)),MATCH(selected_indic_name_unadj,trust_indicator_data!$A$1:$BE$1,0))/100</f>
        <v>0.37027706146240236</v>
      </c>
      <c r="AS6" s="34">
        <f>IF(AQ6&lt;10,NA(),trust_indicator_data!$AR6)</f>
        <v>0.37027706146240236</v>
      </c>
      <c r="AU6" s="34">
        <f>INDEX(table_national_indic,MATCH($AU$1,national_indicator_data!$A$1:$A$17,0),MATCH(selected_indic_name_unadj,national_indicator_data!$A$1:$R$1,0))</f>
        <v>0.47675243377685544</v>
      </c>
      <c r="AV6" s="34">
        <f>INDEX(table_national_indic,MATCH($AV$1,national_indicator_data!$A$1:$A$7,0),MATCH(selected_indic_name_unadj,national_indicator_data!$A$1:$R$1,0))</f>
        <v>0.76214221292766271</v>
      </c>
      <c r="AW6" s="34">
        <f t="shared" si="0"/>
        <v>0.71402969049519394</v>
      </c>
      <c r="AX6" s="34">
        <f t="shared" si="1"/>
        <v>0.81025473536013148</v>
      </c>
      <c r="AY6" s="34">
        <f t="shared" si="2"/>
        <v>0.68997342927895944</v>
      </c>
      <c r="AZ6" s="34">
        <f t="shared" si="3"/>
        <v>0.83431099657636598</v>
      </c>
      <c r="BA6" s="34">
        <f>INDEX(table_national_indic,MATCH($BA$1,national_indicator_data!$A$1:$A$7,0),MATCH(selected_indic_name_unadj,national_indicator_data!$A$1:$R$1,0))</f>
        <v>0</v>
      </c>
      <c r="BB6" s="34">
        <f t="shared" si="4"/>
        <v>0.42887362193622974</v>
      </c>
      <c r="BC6" s="34">
        <f t="shared" si="12"/>
        <v>0.52484633481953402</v>
      </c>
      <c r="BD6" s="34">
        <f t="shared" si="13"/>
        <v>0.40515349592872385</v>
      </c>
      <c r="BE6" s="34">
        <f t="shared" si="14"/>
        <v>0.5488348556642102</v>
      </c>
      <c r="BG6">
        <f t="shared" si="15"/>
        <v>5</v>
      </c>
      <c r="BH6">
        <f t="shared" si="5"/>
        <v>89</v>
      </c>
      <c r="BI6" s="42">
        <f t="shared" si="16"/>
        <v>0.57333332061767583</v>
      </c>
      <c r="BJ6" s="42">
        <f t="shared" si="17"/>
        <v>0.37217911307498824</v>
      </c>
      <c r="BK6" s="42">
        <f t="shared" si="18"/>
        <v>0.5823666815359515</v>
      </c>
      <c r="BL6" s="42">
        <f t="shared" si="19"/>
        <v>0.32175364358339731</v>
      </c>
      <c r="BM6" s="42">
        <f t="shared" si="20"/>
        <v>0.63408235734565455</v>
      </c>
      <c r="BN6" s="42">
        <f t="shared" si="21"/>
        <v>0.47675243377685544</v>
      </c>
    </row>
    <row r="7" spans="1:66" x14ac:dyDescent="0.25">
      <c r="A7" t="s">
        <v>128</v>
      </c>
      <c r="B7" t="s">
        <v>127</v>
      </c>
      <c r="C7" t="s">
        <v>27</v>
      </c>
      <c r="D7" t="s">
        <v>25</v>
      </c>
      <c r="E7" s="2">
        <v>264</v>
      </c>
      <c r="F7" s="2">
        <v>238</v>
      </c>
      <c r="G7" s="2">
        <v>21</v>
      </c>
      <c r="H7" s="2">
        <v>39</v>
      </c>
      <c r="I7" s="2">
        <v>51</v>
      </c>
      <c r="J7" s="2">
        <v>46</v>
      </c>
      <c r="K7" s="2">
        <v>7</v>
      </c>
      <c r="L7" s="2">
        <v>46.351932525634766</v>
      </c>
      <c r="M7" s="46" t="str">
        <f t="shared" si="6"/>
        <v>NRA*</v>
      </c>
      <c r="N7" s="2">
        <v>52.153110504150391</v>
      </c>
      <c r="O7" s="46" t="str">
        <f t="shared" si="7"/>
        <v>NRA*</v>
      </c>
      <c r="P7" s="2">
        <v>94.871795654296875</v>
      </c>
      <c r="Q7" s="46" t="str">
        <f t="shared" si="8"/>
        <v>NRA*</v>
      </c>
      <c r="R7" s="2">
        <v>16.386554718017578</v>
      </c>
      <c r="S7" s="2">
        <v>17.120096206665039</v>
      </c>
      <c r="T7" s="2">
        <v>71.428573608398438</v>
      </c>
      <c r="U7" s="4">
        <v>74.834854125976563</v>
      </c>
      <c r="V7" s="2">
        <v>78.431373596191406</v>
      </c>
      <c r="W7" s="2">
        <v>77.705497741699219</v>
      </c>
      <c r="X7" s="2"/>
      <c r="Y7" s="2"/>
      <c r="Z7" s="2">
        <v>60.869564056396484</v>
      </c>
      <c r="AA7" s="2">
        <v>57.646438598632813</v>
      </c>
      <c r="AB7" s="2">
        <v>85.294120788574219</v>
      </c>
      <c r="AC7" s="46" t="str">
        <f t="shared" si="9"/>
        <v>NRA*</v>
      </c>
      <c r="AD7" s="2">
        <v>38.582675933837891</v>
      </c>
      <c r="AE7" s="2">
        <v>36.103492736816406</v>
      </c>
      <c r="AF7" s="2"/>
      <c r="AG7" s="4">
        <f t="shared" si="10"/>
        <v>264</v>
      </c>
      <c r="AH7" s="4" t="str" cm="1">
        <f t="array" ref="AH7">IF(AG7="NR**","NR**",INDEX(trust_indicator_data!$A$2:$BE$127,(ROW()-ROW(trust_indicator_data!$A$1:$BE$1)),MATCH(selected_indic_name_adj,trust_indicator_data!$A$1:$BE$1,0)))</f>
        <v>NRA*</v>
      </c>
      <c r="AI7" s="4" t="str">
        <f>IF(AG7="NR**","NR**",IF(AH7="NRA*","NRA*",RANK(AH7,AH:AH,1)+COUNTIF($AH$2:AH7,AH7)-1))</f>
        <v>NRA*</v>
      </c>
      <c r="AJ7" s="4" cm="1">
        <f t="array" ref="AJ7">IF(AG7="NR**","NR**",INDEX(trust_indicator_data!$A$2:$BE$127,(ROW()-ROW(trust_indicator_data!$A$1:$BE$1)),MATCH(selected_indic_name_unadj,trust_indicator_data!$A$1:$BE$1,0)))</f>
        <v>46.351932525634766</v>
      </c>
      <c r="AK7" s="4">
        <f>IF(AG7="NR**","NR**",RANK(trust_indicator_data!AJ7,AJ:AJ,1)+COUNTIF($AJ$2:AJ7,AJ7)-1)</f>
        <v>44</v>
      </c>
      <c r="AM7" s="4" cm="1">
        <f t="array" ref="AM7">IF(AQ7&lt;10,0,INDEX(trust_indicator_data!$A$2:$BE$127,(ROW()-ROW(trust_indicator_data!$A$1:$BE$1)),MATCH(selected_indic_name_unadj,trust_indicator_data!$A$1:$BE$1,0)))</f>
        <v>46.351932525634766</v>
      </c>
      <c r="AN7" s="4">
        <f t="shared" si="11"/>
        <v>44</v>
      </c>
      <c r="AO7" s="2"/>
      <c r="AP7" s="4">
        <f>RANK(trust_indicator_data!$AQ7,AQ:AQ,1)+COUNTIF($AQ$2:AQ7,AQ7)-1</f>
        <v>74</v>
      </c>
      <c r="AQ7" s="4" cm="1">
        <f t="array" ref="AQ7">INDEX(trust_indicator_data!$A$2:$BE$127,(ROW()-ROW(trust_indicator_data!$A$1:$BE$1)),MATCH(selected_indic_denom,trust_indicator_data!$A$1:$BE$1,0))</f>
        <v>264</v>
      </c>
      <c r="AR7" s="4" cm="1">
        <f t="array" ref="AR7">INDEX(trust_indicator_data!$A$2:$BE$127,(ROW()-ROW(trust_indicator_data!$A$1:$BE$1)),MATCH(selected_indic_name_unadj,trust_indicator_data!$A$1:$BE$1,0))/100</f>
        <v>0.46351932525634765</v>
      </c>
      <c r="AS7" s="4">
        <f>IF(AQ7&lt;10,NA(),trust_indicator_data!$AR7)</f>
        <v>0.46351932525634765</v>
      </c>
      <c r="AU7" s="4">
        <f>INDEX(table_national_indic,MATCH($AU$1,national_indicator_data!$A$1:$A$17,0),MATCH(selected_indic_name_unadj,national_indicator_data!$A$1:$R$1,0))</f>
        <v>0.47675243377685544</v>
      </c>
      <c r="AV7" s="4">
        <f>INDEX(table_national_indic,MATCH($AV$1,national_indicator_data!$A$1:$A$7,0),MATCH(selected_indic_name_unadj,national_indicator_data!$A$1:$R$1,0))</f>
        <v>0.76214221292766271</v>
      </c>
      <c r="AW7" s="4">
        <f t="shared" si="0"/>
        <v>0.70059646743799631</v>
      </c>
      <c r="AX7" s="4">
        <f t="shared" si="1"/>
        <v>0.82368795841732911</v>
      </c>
      <c r="AY7" s="4">
        <f t="shared" si="2"/>
        <v>0.66982359469316322</v>
      </c>
      <c r="AZ7" s="4">
        <f t="shared" si="3"/>
        <v>0.8544608311621622</v>
      </c>
      <c r="BA7" s="4">
        <f>INDEX(table_national_indic,MATCH($BA$1,national_indicator_data!$A$1:$A$7,0),MATCH(selected_indic_name_unadj,national_indicator_data!$A$1:$R$1,0))</f>
        <v>0</v>
      </c>
      <c r="BB7" s="4">
        <f t="shared" si="4"/>
        <v>0.41560427755596879</v>
      </c>
      <c r="BC7" s="4">
        <f t="shared" si="12"/>
        <v>0.5382523813319271</v>
      </c>
      <c r="BD7" s="4">
        <f t="shared" si="13"/>
        <v>0.3854518753785745</v>
      </c>
      <c r="BE7" s="4">
        <f t="shared" si="14"/>
        <v>0.5688432738912329</v>
      </c>
      <c r="BG7">
        <f t="shared" si="15"/>
        <v>6</v>
      </c>
      <c r="BH7">
        <f t="shared" si="5"/>
        <v>94</v>
      </c>
      <c r="BI7" s="42">
        <f t="shared" si="16"/>
        <v>0.63218391418457032</v>
      </c>
      <c r="BJ7" s="42">
        <f t="shared" si="17"/>
        <v>0.37494389339014722</v>
      </c>
      <c r="BK7" s="42">
        <f t="shared" si="18"/>
        <v>0.57954672926525796</v>
      </c>
      <c r="BL7" s="42">
        <f t="shared" si="19"/>
        <v>0.32576500890382482</v>
      </c>
      <c r="BM7" s="42">
        <f t="shared" si="20"/>
        <v>0.62994798675189656</v>
      </c>
      <c r="BN7" s="42">
        <f t="shared" si="21"/>
        <v>0.47675243377685544</v>
      </c>
    </row>
    <row r="8" spans="1:66" x14ac:dyDescent="0.25">
      <c r="A8" t="s">
        <v>318</v>
      </c>
      <c r="B8" t="s">
        <v>317</v>
      </c>
      <c r="C8" t="s">
        <v>39</v>
      </c>
      <c r="D8" t="s">
        <v>37</v>
      </c>
      <c r="E8" s="2">
        <v>348</v>
      </c>
      <c r="F8" s="2">
        <v>310</v>
      </c>
      <c r="G8" s="2">
        <v>32</v>
      </c>
      <c r="H8" s="2">
        <v>73</v>
      </c>
      <c r="I8" s="2">
        <v>83</v>
      </c>
      <c r="J8" s="2">
        <v>48</v>
      </c>
      <c r="K8" s="2">
        <v>16</v>
      </c>
      <c r="L8" s="2">
        <v>37.269371032714844</v>
      </c>
      <c r="M8" s="46" t="str">
        <f t="shared" si="6"/>
        <v>NRA*</v>
      </c>
      <c r="N8" s="2">
        <v>59.701492309570313</v>
      </c>
      <c r="O8" s="46" t="str">
        <f t="shared" si="7"/>
        <v>NRA*</v>
      </c>
      <c r="P8" s="2">
        <v>94.520545959472656</v>
      </c>
      <c r="Q8" s="46" t="str">
        <f t="shared" si="8"/>
        <v>NRA*</v>
      </c>
      <c r="R8" s="2">
        <v>30.645160675048828</v>
      </c>
      <c r="S8" s="2">
        <v>22.687419891357422</v>
      </c>
      <c r="T8" s="2">
        <v>78.125</v>
      </c>
      <c r="U8" s="4">
        <v>83.563896179199219</v>
      </c>
      <c r="V8" s="2">
        <v>90.361442565917969</v>
      </c>
      <c r="W8" s="2">
        <v>86.029655456542969</v>
      </c>
      <c r="X8" s="2">
        <v>56.25</v>
      </c>
      <c r="Y8" s="2">
        <v>49.095470428466797</v>
      </c>
      <c r="Z8" s="2">
        <v>75</v>
      </c>
      <c r="AA8" s="2">
        <v>68.349815368652344</v>
      </c>
      <c r="AB8" s="2">
        <v>95.67901611328125</v>
      </c>
      <c r="AC8" s="46" t="str">
        <f t="shared" si="9"/>
        <v>NRA*</v>
      </c>
      <c r="AD8" s="2">
        <v>31.686046600341797</v>
      </c>
      <c r="AE8" s="2">
        <v>33.170890808105469</v>
      </c>
      <c r="AF8" s="2"/>
      <c r="AG8" s="34">
        <f t="shared" si="10"/>
        <v>348</v>
      </c>
      <c r="AH8" s="34" t="str" cm="1">
        <f t="array" ref="AH8">IF(AG8="NR**","NR**",INDEX(trust_indicator_data!$A$2:$BE$127,(ROW()-ROW(trust_indicator_data!$A$1:$BE$1)),MATCH(selected_indic_name_adj,trust_indicator_data!$A$1:$BE$1,0)))</f>
        <v>NRA*</v>
      </c>
      <c r="AI8" s="34" t="str">
        <f>IF(AG8="NR**","NR**",IF(AH8="NRA*","NRA*",RANK(AH8,AH:AH,1)+COUNTIF($AH$2:AH8,AH8)-1))</f>
        <v>NRA*</v>
      </c>
      <c r="AJ8" s="34" cm="1">
        <f t="array" ref="AJ8">IF(AG8="NR**","NR**",INDEX(trust_indicator_data!$A$2:$BE$127,(ROW()-ROW(trust_indicator_data!$A$1:$BE$1)),MATCH(selected_indic_name_unadj,trust_indicator_data!$A$1:$BE$1,0)))</f>
        <v>37.269371032714844</v>
      </c>
      <c r="AK8" s="34">
        <f>IF(AG8="NR**","NR**",RANK(trust_indicator_data!AJ8,AJ:AJ,1)+COUNTIF($AJ$2:AJ8,AJ8)-1)</f>
        <v>11</v>
      </c>
      <c r="AM8" s="34" cm="1">
        <f t="array" ref="AM8">IF(AQ8&lt;10,0,INDEX(trust_indicator_data!$A$2:$BE$127,(ROW()-ROW(trust_indicator_data!$A$1:$BE$1)),MATCH(selected_indic_name_unadj,trust_indicator_data!$A$1:$BE$1,0)))</f>
        <v>37.269371032714844</v>
      </c>
      <c r="AN8" s="34">
        <f t="shared" si="11"/>
        <v>11</v>
      </c>
      <c r="AP8" s="34">
        <f>RANK(trust_indicator_data!$AQ8,AQ:AQ,1)+COUNTIF($AQ$2:AQ8,AQ8)-1</f>
        <v>95</v>
      </c>
      <c r="AQ8" s="34" cm="1">
        <f t="array" ref="AQ8">INDEX(trust_indicator_data!$A$2:$BE$127,(ROW()-ROW(trust_indicator_data!$A$1:$BE$1)),MATCH(selected_indic_denom,trust_indicator_data!$A$1:$BE$1,0))</f>
        <v>348</v>
      </c>
      <c r="AR8" s="34" cm="1">
        <f t="array" ref="AR8">INDEX(trust_indicator_data!$A$2:$BE$127,(ROW()-ROW(trust_indicator_data!$A$1:$BE$1)),MATCH(selected_indic_name_unadj,trust_indicator_data!$A$1:$BE$1,0))/100</f>
        <v>0.37269371032714843</v>
      </c>
      <c r="AS8" s="34">
        <f>IF(AQ8&lt;10,NA(),trust_indicator_data!$AR8)</f>
        <v>0.37269371032714843</v>
      </c>
      <c r="AU8" s="34">
        <f>INDEX(table_national_indic,MATCH($AU$1,national_indicator_data!$A$1:$A$17,0),MATCH(selected_indic_name_unadj,national_indicator_data!$A$1:$R$1,0))</f>
        <v>0.47675243377685544</v>
      </c>
      <c r="AV8" s="34">
        <f>INDEX(table_national_indic,MATCH($AV$1,national_indicator_data!$A$1:$A$7,0),MATCH(selected_indic_name_unadj,national_indicator_data!$A$1:$R$1,0))</f>
        <v>0.76214221292766271</v>
      </c>
      <c r="AW8" s="34">
        <f t="shared" si="0"/>
        <v>0.70853658618577298</v>
      </c>
      <c r="AX8" s="34">
        <f t="shared" si="1"/>
        <v>0.81574783966955244</v>
      </c>
      <c r="AY8" s="34">
        <f t="shared" si="2"/>
        <v>0.68173377281482805</v>
      </c>
      <c r="AZ8" s="34">
        <f t="shared" si="3"/>
        <v>0.84255065304049737</v>
      </c>
      <c r="BA8" s="34">
        <f>INDEX(table_national_indic,MATCH($BA$1,national_indicator_data!$A$1:$A$7,0),MATCH(selected_indic_name_unadj,national_indicator_data!$A$1:$R$1,0))</f>
        <v>0</v>
      </c>
      <c r="BB8" s="34">
        <f t="shared" si="4"/>
        <v>0.42344078218220482</v>
      </c>
      <c r="BC8" s="34">
        <f t="shared" si="12"/>
        <v>0.53033104292287803</v>
      </c>
      <c r="BD8" s="34">
        <f t="shared" si="13"/>
        <v>0.39707668768518167</v>
      </c>
      <c r="BE8" s="34">
        <f t="shared" si="14"/>
        <v>0.55702811539132935</v>
      </c>
      <c r="BG8">
        <f t="shared" si="15"/>
        <v>7</v>
      </c>
      <c r="BH8">
        <f t="shared" si="5"/>
        <v>94</v>
      </c>
      <c r="BI8" s="42">
        <f t="shared" si="16"/>
        <v>0.54347827911376956</v>
      </c>
      <c r="BJ8" s="42">
        <f t="shared" si="17"/>
        <v>0.37494389339014722</v>
      </c>
      <c r="BK8" s="42">
        <f t="shared" si="18"/>
        <v>0.57954672926525796</v>
      </c>
      <c r="BL8" s="42">
        <f t="shared" si="19"/>
        <v>0.32576500890382482</v>
      </c>
      <c r="BM8" s="42">
        <f t="shared" si="20"/>
        <v>0.62994798675189656</v>
      </c>
      <c r="BN8" s="42">
        <f t="shared" si="21"/>
        <v>0.47675243377685544</v>
      </c>
    </row>
    <row r="9" spans="1:66" x14ac:dyDescent="0.25">
      <c r="A9" t="s">
        <v>220</v>
      </c>
      <c r="B9" t="s">
        <v>219</v>
      </c>
      <c r="C9" t="s">
        <v>30</v>
      </c>
      <c r="D9" t="s">
        <v>28</v>
      </c>
      <c r="E9" s="2">
        <v>224</v>
      </c>
      <c r="F9" s="2">
        <v>199</v>
      </c>
      <c r="G9" s="2">
        <v>21</v>
      </c>
      <c r="H9" s="2">
        <v>23</v>
      </c>
      <c r="I9" s="2">
        <v>31</v>
      </c>
      <c r="J9" s="2">
        <v>26</v>
      </c>
      <c r="K9" s="2">
        <v>17</v>
      </c>
      <c r="L9" s="2">
        <v>44.444442749023438</v>
      </c>
      <c r="M9" s="46" t="str">
        <f t="shared" si="6"/>
        <v>NRA*</v>
      </c>
      <c r="N9" s="2">
        <v>43.076923370361328</v>
      </c>
      <c r="O9" s="46" t="str">
        <f t="shared" si="7"/>
        <v>NRA*</v>
      </c>
      <c r="P9" s="2">
        <v>73.913040161132813</v>
      </c>
      <c r="Q9" s="46" t="str">
        <f t="shared" si="8"/>
        <v>NRA*</v>
      </c>
      <c r="R9" s="2">
        <v>10.552763938903809</v>
      </c>
      <c r="S9" s="2">
        <v>13.229212760925293</v>
      </c>
      <c r="T9" s="2">
        <v>80.952377319335938</v>
      </c>
      <c r="U9" s="4">
        <v>75.971748352050781</v>
      </c>
      <c r="V9" s="2">
        <v>74.193550109863281</v>
      </c>
      <c r="W9" s="2">
        <v>76.234291076660156</v>
      </c>
      <c r="X9" s="2">
        <v>64.705879211425781</v>
      </c>
      <c r="Y9" s="2">
        <v>60.46826171875</v>
      </c>
      <c r="Z9" s="2">
        <v>57.692306518554688</v>
      </c>
      <c r="AA9" s="2">
        <v>62.339492797851563</v>
      </c>
      <c r="AB9" s="2">
        <v>94.078948974609375</v>
      </c>
      <c r="AC9" s="46" t="str">
        <f t="shared" si="9"/>
        <v>NRA*</v>
      </c>
      <c r="AD9" s="2">
        <v>28.251121520996094</v>
      </c>
      <c r="AE9" s="2">
        <v>24.961816787719727</v>
      </c>
      <c r="AF9" s="2"/>
      <c r="AG9" s="4">
        <f t="shared" si="10"/>
        <v>224</v>
      </c>
      <c r="AH9" s="4" t="str" cm="1">
        <f t="array" ref="AH9">IF(AG9="NR**","NR**",INDEX(trust_indicator_data!$A$2:$BE$127,(ROW()-ROW(trust_indicator_data!$A$1:$BE$1)),MATCH(selected_indic_name_adj,trust_indicator_data!$A$1:$BE$1,0)))</f>
        <v>NRA*</v>
      </c>
      <c r="AI9" s="4" t="str">
        <f>IF(AG9="NR**","NR**",IF(AH9="NRA*","NRA*",RANK(AH9,AH:AH,1)+COUNTIF($AH$2:AH9,AH9)-1))</f>
        <v>NRA*</v>
      </c>
      <c r="AJ9" s="4" cm="1">
        <f t="array" ref="AJ9">IF(AG9="NR**","NR**",INDEX(trust_indicator_data!$A$2:$BE$127,(ROW()-ROW(trust_indicator_data!$A$1:$BE$1)),MATCH(selected_indic_name_unadj,trust_indicator_data!$A$1:$BE$1,0)))</f>
        <v>44.444442749023438</v>
      </c>
      <c r="AK9" s="4">
        <f>IF(AG9="NR**","NR**",RANK(trust_indicator_data!AJ9,AJ:AJ,1)+COUNTIF($AJ$2:AJ9,AJ9)-1)</f>
        <v>34</v>
      </c>
      <c r="AM9" s="4" cm="1">
        <f t="array" ref="AM9">IF(AQ9&lt;10,0,INDEX(trust_indicator_data!$A$2:$BE$127,(ROW()-ROW(trust_indicator_data!$A$1:$BE$1)),MATCH(selected_indic_name_unadj,trust_indicator_data!$A$1:$BE$1,0)))</f>
        <v>44.444442749023438</v>
      </c>
      <c r="AN9" s="4">
        <f t="shared" si="11"/>
        <v>34</v>
      </c>
      <c r="AP9" s="4">
        <f>RANK(trust_indicator_data!$AQ9,AQ:AQ,1)+COUNTIF($AQ$2:AQ9,AQ9)-1</f>
        <v>56</v>
      </c>
      <c r="AQ9" s="4" cm="1">
        <f t="array" ref="AQ9">INDEX(trust_indicator_data!$A$2:$BE$127,(ROW()-ROW(trust_indicator_data!$A$1:$BE$1)),MATCH(selected_indic_denom,trust_indicator_data!$A$1:$BE$1,0))</f>
        <v>224</v>
      </c>
      <c r="AR9" s="4" cm="1">
        <f t="array" ref="AR9">INDEX(trust_indicator_data!$A$2:$BE$127,(ROW()-ROW(trust_indicator_data!$A$1:$BE$1)),MATCH(selected_indic_name_unadj,trust_indicator_data!$A$1:$BE$1,0))/100</f>
        <v>0.44444442749023438</v>
      </c>
      <c r="AS9" s="4">
        <f>IF(AQ9&lt;10,NA(),trust_indicator_data!$AR9)</f>
        <v>0.44444442749023438</v>
      </c>
      <c r="AU9" s="4">
        <f>INDEX(table_national_indic,MATCH($AU$1,national_indicator_data!$A$1:$A$17,0),MATCH(selected_indic_name_unadj,national_indicator_data!$A$1:$R$1,0))</f>
        <v>0.47675243377685544</v>
      </c>
      <c r="AV9" s="4">
        <f>INDEX(table_national_indic,MATCH($AV$1,national_indicator_data!$A$1:$A$7,0),MATCH(selected_indic_name_unadj,national_indicator_data!$A$1:$R$1,0))</f>
        <v>0.76214221292766271</v>
      </c>
      <c r="AW9" s="4">
        <f t="shared" si="0"/>
        <v>0.69532690244955664</v>
      </c>
      <c r="AX9" s="4">
        <f t="shared" si="1"/>
        <v>0.82895752340576878</v>
      </c>
      <c r="AY9" s="4">
        <f t="shared" si="2"/>
        <v>0.66191924721050355</v>
      </c>
      <c r="AZ9" s="4">
        <f t="shared" si="3"/>
        <v>0.86236517864482187</v>
      </c>
      <c r="BA9" s="4">
        <f>INDEX(table_national_indic,MATCH($BA$1,national_indicator_data!$A$1:$A$7,0),MATCH(selected_indic_name_unadj,national_indicator_data!$A$1:$R$1,0))</f>
        <v>0</v>
      </c>
      <c r="BB9" s="4">
        <f t="shared" si="4"/>
        <v>0.4104151045623341</v>
      </c>
      <c r="BC9" s="4">
        <f t="shared" si="12"/>
        <v>0.54350428070951973</v>
      </c>
      <c r="BD9" s="4">
        <f t="shared" si="13"/>
        <v>0.37777238751749409</v>
      </c>
      <c r="BE9" s="4">
        <f t="shared" si="14"/>
        <v>0.5766634108088029</v>
      </c>
      <c r="BG9">
        <f t="shared" si="15"/>
        <v>8</v>
      </c>
      <c r="BH9">
        <f t="shared" si="5"/>
        <v>99</v>
      </c>
      <c r="BI9" s="42">
        <f t="shared" si="16"/>
        <v>0.71264366149902347</v>
      </c>
      <c r="BJ9" s="42">
        <f t="shared" si="17"/>
        <v>0.37750011078856988</v>
      </c>
      <c r="BK9" s="42">
        <f t="shared" si="18"/>
        <v>0.57694089401498927</v>
      </c>
      <c r="BL9" s="42">
        <f t="shared" si="19"/>
        <v>0.32947988525129945</v>
      </c>
      <c r="BM9" s="42">
        <f t="shared" si="20"/>
        <v>0.6261224351317195</v>
      </c>
      <c r="BN9" s="42">
        <f t="shared" si="21"/>
        <v>0.47675243377685544</v>
      </c>
    </row>
    <row r="10" spans="1:66" x14ac:dyDescent="0.25">
      <c r="A10" t="s">
        <v>102</v>
      </c>
      <c r="B10" t="s">
        <v>101</v>
      </c>
      <c r="C10" t="s">
        <v>77</v>
      </c>
      <c r="D10" t="s">
        <v>75</v>
      </c>
      <c r="E10" s="2">
        <v>245</v>
      </c>
      <c r="F10" s="2">
        <v>218</v>
      </c>
      <c r="G10" s="2">
        <v>26</v>
      </c>
      <c r="H10" s="2">
        <v>35</v>
      </c>
      <c r="I10" s="2">
        <v>52</v>
      </c>
      <c r="J10" s="2">
        <v>40</v>
      </c>
      <c r="K10" s="2">
        <v>11</v>
      </c>
      <c r="L10" s="2">
        <v>50.643775939941406</v>
      </c>
      <c r="M10" s="46" t="str">
        <f t="shared" si="6"/>
        <v>NRA*</v>
      </c>
      <c r="N10" s="2">
        <v>46.261680603027344</v>
      </c>
      <c r="O10" s="46" t="str">
        <f t="shared" si="7"/>
        <v>NRA*</v>
      </c>
      <c r="P10" s="2">
        <v>100</v>
      </c>
      <c r="Q10" s="46" t="str">
        <f t="shared" si="8"/>
        <v>NRA*</v>
      </c>
      <c r="R10" s="2">
        <v>10.550458908081055</v>
      </c>
      <c r="S10" s="2">
        <v>9.2777996063232422</v>
      </c>
      <c r="T10" s="2">
        <v>88.461540222167969</v>
      </c>
      <c r="U10" s="4">
        <v>80.530525207519531</v>
      </c>
      <c r="V10" s="2">
        <v>92.307693481445313</v>
      </c>
      <c r="W10" s="2">
        <v>82.578170776367188</v>
      </c>
      <c r="X10" s="2">
        <v>72.727272033691406</v>
      </c>
      <c r="Y10" s="2">
        <v>70.003585815429688</v>
      </c>
      <c r="Z10" s="2">
        <v>70</v>
      </c>
      <c r="AA10" s="2">
        <v>66.587631225585938</v>
      </c>
      <c r="AB10" s="2">
        <v>94.416244506835938</v>
      </c>
      <c r="AC10" s="46" t="str">
        <f t="shared" si="9"/>
        <v>NRA*</v>
      </c>
      <c r="AD10" s="2">
        <v>38.961040496826172</v>
      </c>
      <c r="AE10" s="2">
        <v>40.294322967529297</v>
      </c>
      <c r="AF10" s="2"/>
      <c r="AG10" s="34">
        <f t="shared" si="10"/>
        <v>245</v>
      </c>
      <c r="AH10" s="34" t="str" cm="1">
        <f t="array" ref="AH10">IF(AG10="NR**","NR**",INDEX(trust_indicator_data!$A$2:$BE$127,(ROW()-ROW(trust_indicator_data!$A$1:$BE$1)),MATCH(selected_indic_name_adj,trust_indicator_data!$A$1:$BE$1,0)))</f>
        <v>NRA*</v>
      </c>
      <c r="AI10" s="34" t="str">
        <f>IF(AG10="NR**","NR**",IF(AH10="NRA*","NRA*",RANK(AH10,AH:AH,1)+COUNTIF($AH$2:AH10,AH10)-1))</f>
        <v>NRA*</v>
      </c>
      <c r="AJ10" s="34" cm="1">
        <f t="array" ref="AJ10">IF(AG10="NR**","NR**",INDEX(trust_indicator_data!$A$2:$BE$127,(ROW()-ROW(trust_indicator_data!$A$1:$BE$1)),MATCH(selected_indic_name_unadj,trust_indicator_data!$A$1:$BE$1,0)))</f>
        <v>50.643775939941406</v>
      </c>
      <c r="AK10" s="34">
        <f>IF(AG10="NR**","NR**",RANK(trust_indicator_data!AJ10,AJ:AJ,1)+COUNTIF($AJ$2:AJ10,AJ10)-1)</f>
        <v>72</v>
      </c>
      <c r="AM10" s="34" cm="1">
        <f t="array" ref="AM10">IF(AQ10&lt;10,0,INDEX(trust_indicator_data!$A$2:$BE$127,(ROW()-ROW(trust_indicator_data!$A$1:$BE$1)),MATCH(selected_indic_name_unadj,trust_indicator_data!$A$1:$BE$1,0)))</f>
        <v>50.643775939941406</v>
      </c>
      <c r="AN10" s="34">
        <f t="shared" si="11"/>
        <v>72</v>
      </c>
      <c r="AP10" s="34">
        <f>RANK(trust_indicator_data!$AQ10,AQ:AQ,1)+COUNTIF($AQ$2:AQ10,AQ10)-1</f>
        <v>67</v>
      </c>
      <c r="AQ10" s="34" cm="1">
        <f t="array" ref="AQ10">INDEX(trust_indicator_data!$A$2:$BE$127,(ROW()-ROW(trust_indicator_data!$A$1:$BE$1)),MATCH(selected_indic_denom,trust_indicator_data!$A$1:$BE$1,0))</f>
        <v>245</v>
      </c>
      <c r="AR10" s="34" cm="1">
        <f t="array" ref="AR10">INDEX(trust_indicator_data!$A$2:$BE$127,(ROW()-ROW(trust_indicator_data!$A$1:$BE$1)),MATCH(selected_indic_name_unadj,trust_indicator_data!$A$1:$BE$1,0))/100</f>
        <v>0.50643775939941404</v>
      </c>
      <c r="AS10" s="34">
        <f>IF(AQ10&lt;10,NA(),trust_indicator_data!$AR10)</f>
        <v>0.50643775939941404</v>
      </c>
      <c r="AU10" s="34">
        <f>INDEX(table_national_indic,MATCH($AU$1,national_indicator_data!$A$1:$A$17,0),MATCH(selected_indic_name_unadj,national_indicator_data!$A$1:$R$1,0))</f>
        <v>0.47675243377685544</v>
      </c>
      <c r="AV10" s="34">
        <f>INDEX(table_national_indic,MATCH($AV$1,national_indicator_data!$A$1:$A$7,0),MATCH(selected_indic_name_unadj,national_indicator_data!$A$1:$R$1,0))</f>
        <v>0.76214221292766271</v>
      </c>
      <c r="AW10" s="34">
        <f t="shared" si="0"/>
        <v>0.69825455642766876</v>
      </c>
      <c r="AX10" s="34">
        <f t="shared" si="1"/>
        <v>0.82602986942765666</v>
      </c>
      <c r="AY10" s="34">
        <f t="shared" si="2"/>
        <v>0.66631072817767167</v>
      </c>
      <c r="AZ10" s="34">
        <f t="shared" si="3"/>
        <v>0.85797369767765375</v>
      </c>
      <c r="BA10" s="34">
        <f>INDEX(table_national_indic,MATCH($BA$1,national_indicator_data!$A$1:$A$7,0),MATCH(selected_indic_name_unadj,national_indicator_data!$A$1:$R$1,0))</f>
        <v>0</v>
      </c>
      <c r="BB10" s="34">
        <f t="shared" si="4"/>
        <v>0.41329690296314031</v>
      </c>
      <c r="BC10" s="34">
        <f t="shared" si="12"/>
        <v>0.54058700057570641</v>
      </c>
      <c r="BD10" s="34">
        <f t="shared" si="13"/>
        <v>0.38203529307248285</v>
      </c>
      <c r="BE10" s="34">
        <f t="shared" si="14"/>
        <v>0.57232095564694696</v>
      </c>
      <c r="BG10">
        <f t="shared" si="15"/>
        <v>9</v>
      </c>
      <c r="BH10">
        <f t="shared" si="5"/>
        <v>107</v>
      </c>
      <c r="BI10" s="42">
        <f t="shared" si="16"/>
        <v>0.62244899749755855</v>
      </c>
      <c r="BJ10" s="42">
        <f t="shared" si="17"/>
        <v>0.38121707076546524</v>
      </c>
      <c r="BK10" s="42">
        <f t="shared" si="18"/>
        <v>0.57315416067924108</v>
      </c>
      <c r="BL10" s="42">
        <f t="shared" si="19"/>
        <v>0.33489178990385099</v>
      </c>
      <c r="BM10" s="42">
        <f t="shared" si="20"/>
        <v>0.62055481269277113</v>
      </c>
      <c r="BN10" s="42">
        <f t="shared" si="21"/>
        <v>0.47675243377685544</v>
      </c>
    </row>
    <row r="11" spans="1:66" x14ac:dyDescent="0.25">
      <c r="A11" t="s">
        <v>324</v>
      </c>
      <c r="B11" t="s">
        <v>323</v>
      </c>
      <c r="C11" t="s">
        <v>66</v>
      </c>
      <c r="D11" t="s">
        <v>64</v>
      </c>
      <c r="E11" s="2">
        <v>194</v>
      </c>
      <c r="F11" s="2">
        <v>174</v>
      </c>
      <c r="G11" s="2">
        <v>17</v>
      </c>
      <c r="H11" s="2">
        <v>27</v>
      </c>
      <c r="I11" s="2">
        <v>32</v>
      </c>
      <c r="J11" s="2">
        <v>32</v>
      </c>
      <c r="K11" s="2">
        <v>13</v>
      </c>
      <c r="L11" s="2">
        <v>53.658535003662109</v>
      </c>
      <c r="M11" s="46" t="str">
        <f t="shared" si="6"/>
        <v>NRA*</v>
      </c>
      <c r="N11" s="2">
        <v>57.931034088134766</v>
      </c>
      <c r="O11" s="46" t="str">
        <f t="shared" si="7"/>
        <v>NRA*</v>
      </c>
      <c r="P11" s="2">
        <v>100</v>
      </c>
      <c r="Q11" s="46" t="str">
        <f t="shared" si="8"/>
        <v>NRA*</v>
      </c>
      <c r="R11" s="2">
        <v>20.689655303955078</v>
      </c>
      <c r="S11" s="2">
        <v>18.69099235534668</v>
      </c>
      <c r="T11" s="2">
        <v>41.176471710205078</v>
      </c>
      <c r="U11" s="4">
        <v>48.339584350585938</v>
      </c>
      <c r="V11" s="2">
        <v>87.5</v>
      </c>
      <c r="W11" s="2">
        <v>80.123519897460938</v>
      </c>
      <c r="X11" s="2">
        <v>76.923080444335938</v>
      </c>
      <c r="Y11" s="2">
        <v>72.812538146972656</v>
      </c>
      <c r="Z11" s="2">
        <v>78.125</v>
      </c>
      <c r="AA11" s="2">
        <v>73.575958251953125</v>
      </c>
      <c r="AB11" s="2">
        <v>98.529411315917969</v>
      </c>
      <c r="AC11" s="46" t="str">
        <f t="shared" si="9"/>
        <v>NRA*</v>
      </c>
      <c r="AD11" s="2">
        <v>31.088083267211914</v>
      </c>
      <c r="AE11" s="2">
        <v>34.856472015380859</v>
      </c>
      <c r="AF11" s="2"/>
      <c r="AG11" s="4">
        <f t="shared" si="10"/>
        <v>194</v>
      </c>
      <c r="AH11" s="4" t="str" cm="1">
        <f t="array" ref="AH11">IF(AG11="NR**","NR**",INDEX(trust_indicator_data!$A$2:$BE$127,(ROW()-ROW(trust_indicator_data!$A$1:$BE$1)),MATCH(selected_indic_name_adj,trust_indicator_data!$A$1:$BE$1,0)))</f>
        <v>NRA*</v>
      </c>
      <c r="AI11" s="4" t="str">
        <f>IF(AG11="NR**","NR**",IF(AH11="NRA*","NRA*",RANK(AH11,AH:AH,1)+COUNTIF($AH$2:AH11,AH11)-1))</f>
        <v>NRA*</v>
      </c>
      <c r="AJ11" s="4" cm="1">
        <f t="array" ref="AJ11">IF(AG11="NR**","NR**",INDEX(trust_indicator_data!$A$2:$BE$127,(ROW()-ROW(trust_indicator_data!$A$1:$BE$1)),MATCH(selected_indic_name_unadj,trust_indicator_data!$A$1:$BE$1,0)))</f>
        <v>53.658535003662109</v>
      </c>
      <c r="AK11" s="4">
        <f>IF(AG11="NR**","NR**",RANK(trust_indicator_data!AJ11,AJ:AJ,1)+COUNTIF($AJ$2:AJ11,AJ11)-1)</f>
        <v>93</v>
      </c>
      <c r="AM11" s="4" cm="1">
        <f t="array" ref="AM11">IF(AQ11&lt;10,0,INDEX(trust_indicator_data!$A$2:$BE$127,(ROW()-ROW(trust_indicator_data!$A$1:$BE$1)),MATCH(selected_indic_name_unadj,trust_indicator_data!$A$1:$BE$1,0)))</f>
        <v>53.658535003662109</v>
      </c>
      <c r="AN11" s="4">
        <f t="shared" si="11"/>
        <v>93</v>
      </c>
      <c r="AP11" s="4">
        <f>RANK(trust_indicator_data!$AQ11,AQ:AQ,1)+COUNTIF($AQ$2:AQ11,AQ11)-1</f>
        <v>39</v>
      </c>
      <c r="AQ11" s="4" cm="1">
        <f t="array" ref="AQ11">INDEX(trust_indicator_data!$A$2:$BE$127,(ROW()-ROW(trust_indicator_data!$A$1:$BE$1)),MATCH(selected_indic_denom,trust_indicator_data!$A$1:$BE$1,0))</f>
        <v>194</v>
      </c>
      <c r="AR11" s="4" cm="1">
        <f t="array" ref="AR11">INDEX(trust_indicator_data!$A$2:$BE$127,(ROW()-ROW(trust_indicator_data!$A$1:$BE$1)),MATCH(selected_indic_name_unadj,trust_indicator_data!$A$1:$BE$1,0))/100</f>
        <v>0.53658535003662111</v>
      </c>
      <c r="AS11" s="4">
        <f>IF(AQ11&lt;10,NA(),trust_indicator_data!$AR11)</f>
        <v>0.53658535003662111</v>
      </c>
      <c r="AU11" s="4">
        <f>INDEX(table_national_indic,MATCH($AU$1,national_indicator_data!$A$1:$A$17,0),MATCH(selected_indic_name_unadj,national_indicator_data!$A$1:$R$1,0))</f>
        <v>0.47675243377685544</v>
      </c>
      <c r="AV11" s="4">
        <f>INDEX(table_national_indic,MATCH($AV$1,national_indicator_data!$A$1:$A$7,0),MATCH(selected_indic_name_unadj,national_indicator_data!$A$1:$R$1,0))</f>
        <v>0.76214221292766271</v>
      </c>
      <c r="AW11" s="4">
        <f t="shared" si="0"/>
        <v>0.69034639706588885</v>
      </c>
      <c r="AX11" s="4">
        <f t="shared" si="1"/>
        <v>0.83393802878943657</v>
      </c>
      <c r="AY11" s="4">
        <f t="shared" si="2"/>
        <v>0.65444848913500198</v>
      </c>
      <c r="AZ11" s="4">
        <f t="shared" si="3"/>
        <v>0.86983593672032344</v>
      </c>
      <c r="BA11" s="4">
        <f>INDEX(table_national_indic,MATCH($BA$1,national_indicator_data!$A$1:$A$7,0),MATCH(selected_indic_name_unadj,national_indicator_data!$A$1:$R$1,0))</f>
        <v>0</v>
      </c>
      <c r="BB11" s="4">
        <f t="shared" si="4"/>
        <v>0.40551971826110789</v>
      </c>
      <c r="BC11" s="4">
        <f t="shared" si="12"/>
        <v>0.54846365752753667</v>
      </c>
      <c r="BD11" s="4">
        <f t="shared" si="13"/>
        <v>0.37054220077205446</v>
      </c>
      <c r="BE11" s="4">
        <f t="shared" si="14"/>
        <v>0.58403699912340712</v>
      </c>
      <c r="BG11">
        <f t="shared" si="15"/>
        <v>10</v>
      </c>
      <c r="BH11">
        <f t="shared" si="5"/>
        <v>108</v>
      </c>
      <c r="BI11" s="42">
        <f t="shared" si="16"/>
        <v>0.53684211730957032</v>
      </c>
      <c r="BJ11" s="42">
        <f t="shared" si="17"/>
        <v>0.38165287966537376</v>
      </c>
      <c r="BK11" s="42">
        <f t="shared" si="18"/>
        <v>0.57271035466609199</v>
      </c>
      <c r="BL11" s="42">
        <f t="shared" si="19"/>
        <v>0.33552709879536813</v>
      </c>
      <c r="BM11" s="42">
        <f t="shared" si="20"/>
        <v>0.61990164980607154</v>
      </c>
      <c r="BN11" s="42">
        <f t="shared" si="21"/>
        <v>0.47675243377685544</v>
      </c>
    </row>
    <row r="12" spans="1:66" x14ac:dyDescent="0.25">
      <c r="A12" t="s">
        <v>308</v>
      </c>
      <c r="B12" t="s">
        <v>307</v>
      </c>
      <c r="C12" t="s">
        <v>77</v>
      </c>
      <c r="D12" t="s">
        <v>75</v>
      </c>
      <c r="E12" s="2">
        <v>302</v>
      </c>
      <c r="F12" s="2">
        <v>262</v>
      </c>
      <c r="G12" s="2">
        <v>38</v>
      </c>
      <c r="H12" s="2">
        <v>45</v>
      </c>
      <c r="I12" s="2">
        <v>62</v>
      </c>
      <c r="J12" s="2">
        <v>52</v>
      </c>
      <c r="K12" s="2">
        <v>24</v>
      </c>
      <c r="L12" s="2">
        <v>51.398601531982422</v>
      </c>
      <c r="M12" s="46" t="str">
        <f t="shared" si="6"/>
        <v>NRA*</v>
      </c>
      <c r="N12" s="2">
        <v>47.349822998046875</v>
      </c>
      <c r="O12" s="46" t="str">
        <f t="shared" si="7"/>
        <v>NRA*</v>
      </c>
      <c r="P12" s="2">
        <v>100</v>
      </c>
      <c r="Q12" s="46" t="str">
        <f t="shared" si="8"/>
        <v>NRA*</v>
      </c>
      <c r="R12" s="2">
        <v>13.740458488464355</v>
      </c>
      <c r="S12" s="2">
        <v>12.045583724975586</v>
      </c>
      <c r="T12" s="2">
        <v>84.210525512695313</v>
      </c>
      <c r="U12" s="4">
        <v>85.367439270019531</v>
      </c>
      <c r="V12" s="2">
        <v>91.93548583984375</v>
      </c>
      <c r="W12" s="2">
        <v>82.8822021484375</v>
      </c>
      <c r="X12" s="2">
        <v>54.166667938232422</v>
      </c>
      <c r="Y12" s="2">
        <v>57.995479583740234</v>
      </c>
      <c r="Z12" s="2">
        <v>69.230766296386719</v>
      </c>
      <c r="AA12" s="2">
        <v>63.292953491210938</v>
      </c>
      <c r="AB12" s="2">
        <v>94.954132080078125</v>
      </c>
      <c r="AC12" s="46" t="str">
        <f t="shared" si="9"/>
        <v>NRA*</v>
      </c>
      <c r="AD12" s="2">
        <v>37.710437774658203</v>
      </c>
      <c r="AE12" s="2">
        <v>40.912979125976563</v>
      </c>
      <c r="AF12" s="2"/>
      <c r="AG12" s="34">
        <f t="shared" si="10"/>
        <v>302</v>
      </c>
      <c r="AH12" s="34" t="str" cm="1">
        <f t="array" ref="AH12">IF(AG12="NR**","NR**",INDEX(trust_indicator_data!$A$2:$BE$127,(ROW()-ROW(trust_indicator_data!$A$1:$BE$1)),MATCH(selected_indic_name_adj,trust_indicator_data!$A$1:$BE$1,0)))</f>
        <v>NRA*</v>
      </c>
      <c r="AI12" s="34" t="str">
        <f>IF(AG12="NR**","NR**",IF(AH12="NRA*","NRA*",RANK(AH12,AH:AH,1)+COUNTIF($AH$2:AH12,AH12)-1))</f>
        <v>NRA*</v>
      </c>
      <c r="AJ12" s="34" cm="1">
        <f t="array" ref="AJ12">IF(AG12="NR**","NR**",INDEX(trust_indicator_data!$A$2:$BE$127,(ROW()-ROW(trust_indicator_data!$A$1:$BE$1)),MATCH(selected_indic_name_unadj,trust_indicator_data!$A$1:$BE$1,0)))</f>
        <v>51.398601531982422</v>
      </c>
      <c r="AK12" s="34">
        <f>IF(AG12="NR**","NR**",RANK(trust_indicator_data!AJ12,AJ:AJ,1)+COUNTIF($AJ$2:AJ12,AJ12)-1)</f>
        <v>78</v>
      </c>
      <c r="AM12" s="34" cm="1">
        <f t="array" ref="AM12">IF(AQ12&lt;10,0,INDEX(trust_indicator_data!$A$2:$BE$127,(ROW()-ROW(trust_indicator_data!$A$1:$BE$1)),MATCH(selected_indic_name_unadj,trust_indicator_data!$A$1:$BE$1,0)))</f>
        <v>51.398601531982422</v>
      </c>
      <c r="AN12" s="34">
        <f t="shared" si="11"/>
        <v>78</v>
      </c>
      <c r="AP12" s="34">
        <f>RANK(trust_indicator_data!$AQ12,AQ:AQ,1)+COUNTIF($AQ$2:AQ12,AQ12)-1</f>
        <v>86</v>
      </c>
      <c r="AQ12" s="34" cm="1">
        <f t="array" ref="AQ12">INDEX(trust_indicator_data!$A$2:$BE$127,(ROW()-ROW(trust_indicator_data!$A$1:$BE$1)),MATCH(selected_indic_denom,trust_indicator_data!$A$1:$BE$1,0))</f>
        <v>302</v>
      </c>
      <c r="AR12" s="34" cm="1">
        <f t="array" ref="AR12">INDEX(trust_indicator_data!$A$2:$BE$127,(ROW()-ROW(trust_indicator_data!$A$1:$BE$1)),MATCH(selected_indic_name_unadj,trust_indicator_data!$A$1:$BE$1,0))/100</f>
        <v>0.51398601531982424</v>
      </c>
      <c r="AS12" s="34">
        <f>IF(AQ12&lt;10,NA(),trust_indicator_data!$AR12)</f>
        <v>0.51398601531982424</v>
      </c>
      <c r="AU12" s="34">
        <f>INDEX(table_national_indic,MATCH($AU$1,national_indicator_data!$A$1:$A$17,0),MATCH(selected_indic_name_unadj,national_indicator_data!$A$1:$R$1,0))</f>
        <v>0.47675243377685544</v>
      </c>
      <c r="AV12" s="34">
        <f>INDEX(table_national_indic,MATCH($AV$1,national_indicator_data!$A$1:$A$7,0),MATCH(selected_indic_name_unadj,national_indicator_data!$A$1:$R$1,0))</f>
        <v>0.76214221292766271</v>
      </c>
      <c r="AW12" s="34">
        <f t="shared" si="0"/>
        <v>0.70459867916281915</v>
      </c>
      <c r="AX12" s="34">
        <f t="shared" si="1"/>
        <v>0.81968574669250627</v>
      </c>
      <c r="AY12" s="34">
        <f t="shared" si="2"/>
        <v>0.67582691228039726</v>
      </c>
      <c r="AZ12" s="34">
        <f t="shared" si="3"/>
        <v>0.84845751357492816</v>
      </c>
      <c r="BA12" s="34">
        <f>INDEX(table_national_indic,MATCH($BA$1,national_indicator_data!$A$1:$A$7,0),MATCH(selected_indic_name_unadj,national_indicator_data!$A$1:$R$1,0))</f>
        <v>0</v>
      </c>
      <c r="BB12" s="34">
        <f t="shared" si="4"/>
        <v>0.41955172621234432</v>
      </c>
      <c r="BC12" s="34">
        <f t="shared" si="12"/>
        <v>0.53426071641399986</v>
      </c>
      <c r="BD12" s="34">
        <f t="shared" si="13"/>
        <v>0.39130364346575164</v>
      </c>
      <c r="BE12" s="34">
        <f t="shared" si="14"/>
        <v>0.56289231351080715</v>
      </c>
      <c r="BG12">
        <f t="shared" si="15"/>
        <v>11</v>
      </c>
      <c r="BH12">
        <f t="shared" si="5"/>
        <v>108</v>
      </c>
      <c r="BI12" s="42">
        <f t="shared" si="16"/>
        <v>0.63333332061767578</v>
      </c>
      <c r="BJ12" s="42">
        <f t="shared" si="17"/>
        <v>0.38165287966537376</v>
      </c>
      <c r="BK12" s="42">
        <f t="shared" si="18"/>
        <v>0.57271035466609199</v>
      </c>
      <c r="BL12" s="42">
        <f t="shared" si="19"/>
        <v>0.33552709879536813</v>
      </c>
      <c r="BM12" s="42">
        <f t="shared" si="20"/>
        <v>0.61990164980607154</v>
      </c>
      <c r="BN12" s="42">
        <f t="shared" si="21"/>
        <v>0.47675243377685544</v>
      </c>
    </row>
    <row r="13" spans="1:66" x14ac:dyDescent="0.25">
      <c r="A13" t="s">
        <v>168</v>
      </c>
      <c r="B13" t="s">
        <v>167</v>
      </c>
      <c r="C13" t="s">
        <v>24</v>
      </c>
      <c r="D13" t="s">
        <v>22</v>
      </c>
      <c r="E13" s="2">
        <v>135</v>
      </c>
      <c r="F13" s="2">
        <v>116</v>
      </c>
      <c r="G13" s="2">
        <v>19</v>
      </c>
      <c r="H13" s="2">
        <v>2</v>
      </c>
      <c r="I13" s="2">
        <v>2</v>
      </c>
      <c r="J13" s="2">
        <v>35</v>
      </c>
      <c r="K13" s="2">
        <v>3</v>
      </c>
      <c r="L13" s="2">
        <v>79.381446838378906</v>
      </c>
      <c r="M13" s="46" t="str">
        <f t="shared" si="6"/>
        <v>NRA*</v>
      </c>
      <c r="N13" s="2">
        <v>61.111110687255859</v>
      </c>
      <c r="O13" s="46" t="str">
        <f t="shared" si="7"/>
        <v>NRA*</v>
      </c>
      <c r="P13" s="2"/>
      <c r="Q13" s="46" t="str">
        <f t="shared" si="8"/>
        <v>NRA*</v>
      </c>
      <c r="R13" s="2">
        <v>0</v>
      </c>
      <c r="S13" s="2">
        <v>0</v>
      </c>
      <c r="T13" s="2">
        <v>52.631580352783203</v>
      </c>
      <c r="U13" s="4">
        <v>50.660118103027344</v>
      </c>
      <c r="V13" s="2"/>
      <c r="W13" s="2"/>
      <c r="X13" s="2"/>
      <c r="Y13" s="2"/>
      <c r="Z13" s="2">
        <v>60</v>
      </c>
      <c r="AA13" s="2">
        <v>60.624935150146484</v>
      </c>
      <c r="AB13" s="2">
        <v>18.085105895996094</v>
      </c>
      <c r="AC13" s="46" t="str">
        <f t="shared" si="9"/>
        <v>NRA*</v>
      </c>
      <c r="AD13" s="2">
        <v>43.283580780029297</v>
      </c>
      <c r="AE13" s="2">
        <v>37.799289703369141</v>
      </c>
      <c r="AF13" s="2"/>
      <c r="AG13" s="4">
        <f t="shared" si="10"/>
        <v>135</v>
      </c>
      <c r="AH13" s="4" t="str" cm="1">
        <f t="array" ref="AH13">IF(AG13="NR**","NR**",INDEX(trust_indicator_data!$A$2:$BE$127,(ROW()-ROW(trust_indicator_data!$A$1:$BE$1)),MATCH(selected_indic_name_adj,trust_indicator_data!$A$1:$BE$1,0)))</f>
        <v>NRA*</v>
      </c>
      <c r="AI13" s="4" t="str">
        <f>IF(AG13="NR**","NR**",IF(AH13="NRA*","NRA*",RANK(AH13,AH:AH,1)+COUNTIF($AH$2:AH13,AH13)-1))</f>
        <v>NRA*</v>
      </c>
      <c r="AJ13" s="4" cm="1">
        <f t="array" ref="AJ13">IF(AG13="NR**","NR**",INDEX(trust_indicator_data!$A$2:$BE$127,(ROW()-ROW(trust_indicator_data!$A$1:$BE$1)),MATCH(selected_indic_name_unadj,trust_indicator_data!$A$1:$BE$1,0)))</f>
        <v>79.381446838378906</v>
      </c>
      <c r="AK13" s="4">
        <f>IF(AG13="NR**","NR**",RANK(trust_indicator_data!AJ13,AJ:AJ,1)+COUNTIF($AJ$2:AJ13,AJ13)-1)</f>
        <v>126</v>
      </c>
      <c r="AM13" s="4" cm="1">
        <f t="array" ref="AM13">IF(AQ13&lt;10,0,INDEX(trust_indicator_data!$A$2:$BE$127,(ROW()-ROW(trust_indicator_data!$A$1:$BE$1)),MATCH(selected_indic_name_unadj,trust_indicator_data!$A$1:$BE$1,0)))</f>
        <v>79.381446838378906</v>
      </c>
      <c r="AN13" s="4">
        <f t="shared" si="11"/>
        <v>126</v>
      </c>
      <c r="AP13" s="4">
        <f>RANK(trust_indicator_data!$AQ13,AQ:AQ,1)+COUNTIF($AQ$2:AQ13,AQ13)-1</f>
        <v>23</v>
      </c>
      <c r="AQ13" s="4" cm="1">
        <f t="array" ref="AQ13">INDEX(trust_indicator_data!$A$2:$BE$127,(ROW()-ROW(trust_indicator_data!$A$1:$BE$1)),MATCH(selected_indic_denom,trust_indicator_data!$A$1:$BE$1,0))</f>
        <v>135</v>
      </c>
      <c r="AR13" s="4" cm="1">
        <f t="array" ref="AR13">INDEX(trust_indicator_data!$A$2:$BE$127,(ROW()-ROW(trust_indicator_data!$A$1:$BE$1)),MATCH(selected_indic_name_unadj,trust_indicator_data!$A$1:$BE$1,0))/100</f>
        <v>0.79381446838378911</v>
      </c>
      <c r="AS13" s="4">
        <f>IF(AQ13&lt;10,NA(),trust_indicator_data!$AR13)</f>
        <v>0.79381446838378911</v>
      </c>
      <c r="AU13" s="4">
        <f>INDEX(table_national_indic,MATCH($AU$1,national_indicator_data!$A$1:$A$17,0),MATCH(selected_indic_name_unadj,national_indicator_data!$A$1:$R$1,0))</f>
        <v>0.47675243377685544</v>
      </c>
      <c r="AV13" s="4">
        <f>INDEX(table_national_indic,MATCH($AV$1,national_indicator_data!$A$1:$A$7,0),MATCH(selected_indic_name_unadj,national_indicator_data!$A$1:$R$1,0))</f>
        <v>0.76214221292766271</v>
      </c>
      <c r="AW13" s="4">
        <f t="shared" si="0"/>
        <v>0.67607591634527564</v>
      </c>
      <c r="AX13" s="4">
        <f t="shared" si="1"/>
        <v>0.84820850951004978</v>
      </c>
      <c r="AY13" s="4">
        <f t="shared" si="2"/>
        <v>0.63304276805408211</v>
      </c>
      <c r="AZ13" s="4">
        <f t="shared" si="3"/>
        <v>0.89124165780124331</v>
      </c>
      <c r="BA13" s="4">
        <f>INDEX(table_national_indic,MATCH($BA$1,national_indicator_data!$A$1:$A$7,0),MATCH(selected_indic_name_unadj,national_indicator_data!$A$1:$R$1,0))</f>
        <v>0</v>
      </c>
      <c r="BB13" s="4">
        <f t="shared" si="4"/>
        <v>0.39154670587363516</v>
      </c>
      <c r="BC13" s="4">
        <f t="shared" si="12"/>
        <v>0.56264527935378861</v>
      </c>
      <c r="BD13" s="4">
        <f t="shared" si="13"/>
        <v>0.34999134938378607</v>
      </c>
      <c r="BE13" s="4">
        <f t="shared" si="14"/>
        <v>0.60505476481945997</v>
      </c>
      <c r="BG13">
        <f t="shared" si="15"/>
        <v>12</v>
      </c>
      <c r="BH13">
        <f t="shared" si="5"/>
        <v>113</v>
      </c>
      <c r="BI13" s="42">
        <f t="shared" si="16"/>
        <v>0.47272727966308592</v>
      </c>
      <c r="BJ13" s="42">
        <f t="shared" si="17"/>
        <v>0.38374575030993635</v>
      </c>
      <c r="BK13" s="42">
        <f t="shared" si="18"/>
        <v>0.57057961530385193</v>
      </c>
      <c r="BL13" s="42">
        <f t="shared" si="19"/>
        <v>0.33858022324021037</v>
      </c>
      <c r="BM13" s="42">
        <f t="shared" si="20"/>
        <v>0.6167639637425516</v>
      </c>
      <c r="BN13" s="42">
        <f t="shared" si="21"/>
        <v>0.47675243377685544</v>
      </c>
    </row>
    <row r="14" spans="1:66" x14ac:dyDescent="0.25">
      <c r="A14" t="s">
        <v>246</v>
      </c>
      <c r="B14" t="s">
        <v>245</v>
      </c>
      <c r="C14" t="s">
        <v>512</v>
      </c>
      <c r="D14" t="s">
        <v>70</v>
      </c>
      <c r="E14" s="2">
        <v>202</v>
      </c>
      <c r="F14" s="2">
        <v>189</v>
      </c>
      <c r="G14" s="2">
        <v>9</v>
      </c>
      <c r="H14" s="2">
        <v>29</v>
      </c>
      <c r="I14" s="2">
        <v>37</v>
      </c>
      <c r="J14" s="2">
        <v>39</v>
      </c>
      <c r="K14" s="2">
        <v>22</v>
      </c>
      <c r="L14" s="2">
        <v>46.596858978271484</v>
      </c>
      <c r="M14" s="46" t="str">
        <f t="shared" si="6"/>
        <v>NRA*</v>
      </c>
      <c r="N14" s="2">
        <v>53.977272033691406</v>
      </c>
      <c r="O14" s="46" t="str">
        <f t="shared" si="7"/>
        <v>NRA*</v>
      </c>
      <c r="P14" s="2">
        <v>82.758621215820313</v>
      </c>
      <c r="Q14" s="46" t="str">
        <f t="shared" si="8"/>
        <v>NRA*</v>
      </c>
      <c r="R14" s="2">
        <v>18.518518447875977</v>
      </c>
      <c r="S14" s="2">
        <v>17.430910110473633</v>
      </c>
      <c r="T14" s="2"/>
      <c r="V14" s="2">
        <v>64.8648681640625</v>
      </c>
      <c r="W14" s="2">
        <v>65.793724060058594</v>
      </c>
      <c r="X14" s="2">
        <v>68.181816101074219</v>
      </c>
      <c r="Y14" s="2">
        <v>58.762577056884766</v>
      </c>
      <c r="Z14" s="2">
        <v>79.4871826171875</v>
      </c>
      <c r="AA14" s="2">
        <v>69.733970642089844</v>
      </c>
      <c r="AB14" s="2">
        <v>93.055557250976563</v>
      </c>
      <c r="AC14" s="46" t="str">
        <f t="shared" si="9"/>
        <v>NRA*</v>
      </c>
      <c r="AD14" s="2">
        <v>49.246231079101563</v>
      </c>
      <c r="AE14" s="2">
        <v>51.324630737304688</v>
      </c>
      <c r="AF14" s="2"/>
      <c r="AG14" s="34">
        <f t="shared" si="10"/>
        <v>202</v>
      </c>
      <c r="AH14" s="34" t="str" cm="1">
        <f t="array" ref="AH14">IF(AG14="NR**","NR**",INDEX(trust_indicator_data!$A$2:$BE$127,(ROW()-ROW(trust_indicator_data!$A$1:$BE$1)),MATCH(selected_indic_name_adj,trust_indicator_data!$A$1:$BE$1,0)))</f>
        <v>NRA*</v>
      </c>
      <c r="AI14" s="34" t="str">
        <f>IF(AG14="NR**","NR**",IF(AH14="NRA*","NRA*",RANK(AH14,AH:AH,1)+COUNTIF($AH$2:AH14,AH14)-1))</f>
        <v>NRA*</v>
      </c>
      <c r="AJ14" s="34" cm="1">
        <f t="array" ref="AJ14">IF(AG14="NR**","NR**",INDEX(trust_indicator_data!$A$2:$BE$127,(ROW()-ROW(trust_indicator_data!$A$1:$BE$1)),MATCH(selected_indic_name_unadj,trust_indicator_data!$A$1:$BE$1,0)))</f>
        <v>46.596858978271484</v>
      </c>
      <c r="AK14" s="34">
        <f>IF(AG14="NR**","NR**",RANK(trust_indicator_data!AJ14,AJ:AJ,1)+COUNTIF($AJ$2:AJ14,AJ14)-1)</f>
        <v>46</v>
      </c>
      <c r="AM14" s="34" cm="1">
        <f t="array" ref="AM14">IF(AQ14&lt;10,0,INDEX(trust_indicator_data!$A$2:$BE$127,(ROW()-ROW(trust_indicator_data!$A$1:$BE$1)),MATCH(selected_indic_name_unadj,trust_indicator_data!$A$1:$BE$1,0)))</f>
        <v>46.596858978271484</v>
      </c>
      <c r="AN14" s="34">
        <f t="shared" si="11"/>
        <v>46</v>
      </c>
      <c r="AP14" s="34">
        <f>RANK(trust_indicator_data!$AQ14,AQ:AQ,1)+COUNTIF($AQ$2:AQ14,AQ14)-1</f>
        <v>44</v>
      </c>
      <c r="AQ14" s="34" cm="1">
        <f t="array" ref="AQ14">INDEX(trust_indicator_data!$A$2:$BE$127,(ROW()-ROW(trust_indicator_data!$A$1:$BE$1)),MATCH(selected_indic_denom,trust_indicator_data!$A$1:$BE$1,0))</f>
        <v>202</v>
      </c>
      <c r="AR14" s="34" cm="1">
        <f t="array" ref="AR14">INDEX(trust_indicator_data!$A$2:$BE$127,(ROW()-ROW(trust_indicator_data!$A$1:$BE$1)),MATCH(selected_indic_name_unadj,trust_indicator_data!$A$1:$BE$1,0))/100</f>
        <v>0.46596858978271483</v>
      </c>
      <c r="AS14" s="34">
        <f>IF(AQ14&lt;10,NA(),trust_indicator_data!$AR14)</f>
        <v>0.46596858978271483</v>
      </c>
      <c r="AU14" s="34">
        <f>INDEX(table_national_indic,MATCH($AU$1,national_indicator_data!$A$1:$A$17,0),MATCH(selected_indic_name_unadj,national_indicator_data!$A$1:$R$1,0))</f>
        <v>0.47675243377685544</v>
      </c>
      <c r="AV14" s="34">
        <f>INDEX(table_national_indic,MATCH($AV$1,national_indicator_data!$A$1:$A$7,0),MATCH(selected_indic_name_unadj,national_indicator_data!$A$1:$R$1,0))</f>
        <v>0.76214221292766271</v>
      </c>
      <c r="AW14" s="34">
        <f t="shared" si="0"/>
        <v>0.69178245845463349</v>
      </c>
      <c r="AX14" s="34">
        <f t="shared" si="1"/>
        <v>0.83250196740069193</v>
      </c>
      <c r="AY14" s="34">
        <f t="shared" si="2"/>
        <v>0.65660258121811887</v>
      </c>
      <c r="AZ14" s="34">
        <f t="shared" si="3"/>
        <v>0.86768184463720655</v>
      </c>
      <c r="BA14" s="34">
        <f>INDEX(table_national_indic,MATCH($BA$1,national_indicator_data!$A$1:$A$7,0),MATCH(selected_indic_name_unadj,national_indicator_data!$A$1:$R$1,0))</f>
        <v>0</v>
      </c>
      <c r="BB14" s="34">
        <f t="shared" si="4"/>
        <v>0.40693029628885818</v>
      </c>
      <c r="BC14" s="34">
        <f t="shared" si="12"/>
        <v>0.54703415996218629</v>
      </c>
      <c r="BD14" s="34">
        <f t="shared" si="13"/>
        <v>0.37262403316628084</v>
      </c>
      <c r="BE14" s="34">
        <f t="shared" si="14"/>
        <v>0.58191277702019717</v>
      </c>
      <c r="BG14">
        <f t="shared" si="15"/>
        <v>13</v>
      </c>
      <c r="BH14">
        <f t="shared" si="5"/>
        <v>115</v>
      </c>
      <c r="BI14" s="42">
        <f t="shared" si="16"/>
        <v>0.39795917510986328</v>
      </c>
      <c r="BJ14" s="42">
        <f t="shared" si="17"/>
        <v>0.38454499628131722</v>
      </c>
      <c r="BK14" s="42">
        <f t="shared" si="18"/>
        <v>0.56976614118722435</v>
      </c>
      <c r="BL14" s="42">
        <f t="shared" si="19"/>
        <v>0.33974713048695221</v>
      </c>
      <c r="BM14" s="42">
        <f t="shared" si="20"/>
        <v>0.61556527723739585</v>
      </c>
      <c r="BN14" s="42">
        <f t="shared" si="21"/>
        <v>0.47675243377685544</v>
      </c>
    </row>
    <row r="15" spans="1:66" x14ac:dyDescent="0.25">
      <c r="A15" t="s">
        <v>158</v>
      </c>
      <c r="B15" t="s">
        <v>157</v>
      </c>
      <c r="C15" t="s">
        <v>21</v>
      </c>
      <c r="D15" t="s">
        <v>19</v>
      </c>
      <c r="E15" s="2">
        <v>237</v>
      </c>
      <c r="F15" s="2">
        <v>209</v>
      </c>
      <c r="G15" s="2">
        <v>27</v>
      </c>
      <c r="H15" s="2">
        <v>42</v>
      </c>
      <c r="I15" s="2">
        <v>46</v>
      </c>
      <c r="J15" s="2">
        <v>48</v>
      </c>
      <c r="K15" s="2">
        <v>22</v>
      </c>
      <c r="L15" s="2">
        <v>49.361701965332031</v>
      </c>
      <c r="M15" s="46" t="str">
        <f t="shared" si="6"/>
        <v>NRA*</v>
      </c>
      <c r="N15" s="2">
        <v>63.681591033935547</v>
      </c>
      <c r="O15" s="46" t="str">
        <f t="shared" si="7"/>
        <v>NRA*</v>
      </c>
      <c r="P15" s="2">
        <v>69.047622680664063</v>
      </c>
      <c r="Q15" s="46" t="str">
        <f t="shared" si="8"/>
        <v>NRA*</v>
      </c>
      <c r="R15" s="2">
        <v>18.660287857055664</v>
      </c>
      <c r="S15" s="2">
        <v>19.784364700317383</v>
      </c>
      <c r="T15" s="2">
        <v>92.59259033203125</v>
      </c>
      <c r="U15" s="4">
        <v>81.166999816894531</v>
      </c>
      <c r="V15" s="2">
        <v>80.434783935546875</v>
      </c>
      <c r="W15" s="2">
        <v>84.65301513671875</v>
      </c>
      <c r="X15" s="2">
        <v>63.636363983154297</v>
      </c>
      <c r="Y15" s="2">
        <v>56.519561767578125</v>
      </c>
      <c r="Z15" s="2">
        <v>45.833332061767578</v>
      </c>
      <c r="AA15" s="2">
        <v>48.41162109375</v>
      </c>
      <c r="AB15" s="2">
        <v>97.515525817871094</v>
      </c>
      <c r="AC15" s="46" t="str">
        <f t="shared" si="9"/>
        <v>NRA*</v>
      </c>
      <c r="AD15" s="2">
        <v>27.155172348022461</v>
      </c>
      <c r="AE15" s="2">
        <v>27.887147903442383</v>
      </c>
      <c r="AF15" s="2"/>
      <c r="AG15" s="4">
        <f t="shared" si="10"/>
        <v>237</v>
      </c>
      <c r="AH15" s="4" t="str" cm="1">
        <f t="array" ref="AH15">IF(AG15="NR**","NR**",INDEX(trust_indicator_data!$A$2:$BE$127,(ROW()-ROW(trust_indicator_data!$A$1:$BE$1)),MATCH(selected_indic_name_adj,trust_indicator_data!$A$1:$BE$1,0)))</f>
        <v>NRA*</v>
      </c>
      <c r="AI15" s="4" t="str">
        <f>IF(AG15="NR**","NR**",IF(AH15="NRA*","NRA*",RANK(AH15,AH:AH,1)+COUNTIF($AH$2:AH15,AH15)-1))</f>
        <v>NRA*</v>
      </c>
      <c r="AJ15" s="4" cm="1">
        <f t="array" ref="AJ15">IF(AG15="NR**","NR**",INDEX(trust_indicator_data!$A$2:$BE$127,(ROW()-ROW(trust_indicator_data!$A$1:$BE$1)),MATCH(selected_indic_name_unadj,trust_indicator_data!$A$1:$BE$1,0)))</f>
        <v>49.361701965332031</v>
      </c>
      <c r="AK15" s="4">
        <f>IF(AG15="NR**","NR**",RANK(trust_indicator_data!AJ15,AJ:AJ,1)+COUNTIF($AJ$2:AJ15,AJ15)-1)</f>
        <v>63</v>
      </c>
      <c r="AM15" s="4" cm="1">
        <f t="array" ref="AM15">IF(AQ15&lt;10,0,INDEX(trust_indicator_data!$A$2:$BE$127,(ROW()-ROW(trust_indicator_data!$A$1:$BE$1)),MATCH(selected_indic_name_unadj,trust_indicator_data!$A$1:$BE$1,0)))</f>
        <v>49.361701965332031</v>
      </c>
      <c r="AN15" s="4">
        <f t="shared" si="11"/>
        <v>63</v>
      </c>
      <c r="AP15" s="4">
        <f>RANK(trust_indicator_data!$AQ15,AQ:AQ,1)+COUNTIF($AQ$2:AQ15,AQ15)-1</f>
        <v>63</v>
      </c>
      <c r="AQ15" s="4" cm="1">
        <f t="array" ref="AQ15">INDEX(trust_indicator_data!$A$2:$BE$127,(ROW()-ROW(trust_indicator_data!$A$1:$BE$1)),MATCH(selected_indic_denom,trust_indicator_data!$A$1:$BE$1,0))</f>
        <v>237</v>
      </c>
      <c r="AR15" s="4" cm="1">
        <f t="array" ref="AR15">INDEX(trust_indicator_data!$A$2:$BE$127,(ROW()-ROW(trust_indicator_data!$A$1:$BE$1)),MATCH(selected_indic_name_unadj,trust_indicator_data!$A$1:$BE$1,0))/100</f>
        <v>0.49361701965332033</v>
      </c>
      <c r="AS15" s="4">
        <f>IF(AQ15&lt;10,NA(),trust_indicator_data!$AR15)</f>
        <v>0.49361701965332033</v>
      </c>
      <c r="AU15" s="4">
        <f>INDEX(table_national_indic,MATCH($AU$1,national_indicator_data!$A$1:$A$17,0),MATCH(selected_indic_name_unadj,national_indicator_data!$A$1:$R$1,0))</f>
        <v>0.47675243377685544</v>
      </c>
      <c r="AV15" s="4">
        <f>INDEX(table_national_indic,MATCH($AV$1,national_indicator_data!$A$1:$A$7,0),MATCH(selected_indic_name_unadj,national_indicator_data!$A$1:$R$1,0))</f>
        <v>0.76214221292766271</v>
      </c>
      <c r="AW15" s="4">
        <f t="shared" si="0"/>
        <v>0.69718523268149957</v>
      </c>
      <c r="AX15" s="4">
        <f t="shared" si="1"/>
        <v>0.82709919317382585</v>
      </c>
      <c r="AY15" s="4">
        <f t="shared" si="2"/>
        <v>0.66470674255841811</v>
      </c>
      <c r="AZ15" s="4">
        <f t="shared" si="3"/>
        <v>0.85957768329690731</v>
      </c>
      <c r="BA15" s="4">
        <f>INDEX(table_national_indic,MATCH($BA$1,national_indicator_data!$A$1:$A$7,0),MATCH(selected_indic_name_unadj,national_indicator_data!$A$1:$R$1,0))</f>
        <v>0</v>
      </c>
      <c r="BB15" s="4">
        <f t="shared" si="4"/>
        <v>0.41224397813865526</v>
      </c>
      <c r="BC15" s="4">
        <f t="shared" si="12"/>
        <v>0.54165270186423065</v>
      </c>
      <c r="BD15" s="4">
        <f t="shared" si="13"/>
        <v>0.38047719731968388</v>
      </c>
      <c r="BE15" s="4">
        <f t="shared" si="14"/>
        <v>0.5739076990075781</v>
      </c>
      <c r="BG15">
        <f t="shared" si="15"/>
        <v>14</v>
      </c>
      <c r="BH15">
        <f t="shared" si="5"/>
        <v>115</v>
      </c>
      <c r="BI15" s="42">
        <f t="shared" si="16"/>
        <v>0.54368930816650396</v>
      </c>
      <c r="BJ15" s="42">
        <f t="shared" si="17"/>
        <v>0.38454499628131722</v>
      </c>
      <c r="BK15" s="42">
        <f t="shared" si="18"/>
        <v>0.56976614118722435</v>
      </c>
      <c r="BL15" s="42">
        <f t="shared" si="19"/>
        <v>0.33974713048695221</v>
      </c>
      <c r="BM15" s="42">
        <f t="shared" si="20"/>
        <v>0.61556527723739585</v>
      </c>
      <c r="BN15" s="42">
        <f t="shared" si="21"/>
        <v>0.47675243377685544</v>
      </c>
    </row>
    <row r="16" spans="1:66" x14ac:dyDescent="0.25">
      <c r="A16" t="s">
        <v>198</v>
      </c>
      <c r="B16" t="s">
        <v>197</v>
      </c>
      <c r="C16" t="s">
        <v>18</v>
      </c>
      <c r="D16" t="s">
        <v>16</v>
      </c>
      <c r="E16" s="2">
        <v>122</v>
      </c>
      <c r="F16" s="2">
        <v>115</v>
      </c>
      <c r="G16" s="2">
        <v>7</v>
      </c>
      <c r="H16" s="2">
        <v>19</v>
      </c>
      <c r="I16" s="2">
        <v>23</v>
      </c>
      <c r="J16" s="2">
        <v>23</v>
      </c>
      <c r="K16" s="2">
        <v>8</v>
      </c>
      <c r="L16" s="2">
        <v>42.016807556152344</v>
      </c>
      <c r="M16" s="46" t="str">
        <f t="shared" si="6"/>
        <v>NRA*</v>
      </c>
      <c r="N16" s="2">
        <v>45.689655303955078</v>
      </c>
      <c r="O16" s="46" t="str">
        <f t="shared" si="7"/>
        <v>NRA*</v>
      </c>
      <c r="P16" s="2">
        <v>84.210525512695313</v>
      </c>
      <c r="Q16" s="46" t="str">
        <f t="shared" si="8"/>
        <v>NRA*</v>
      </c>
      <c r="R16" s="2">
        <v>9.5652170181274414</v>
      </c>
      <c r="S16" s="2">
        <v>10.027169227600098</v>
      </c>
      <c r="T16" s="2"/>
      <c r="V16" s="2">
        <v>82.608695983886719</v>
      </c>
      <c r="W16" s="2">
        <v>75.064285278320313</v>
      </c>
      <c r="X16" s="2"/>
      <c r="Y16" s="2"/>
      <c r="Z16" s="2">
        <v>82.608695983886719</v>
      </c>
      <c r="AA16" s="2">
        <v>76.740272521972656</v>
      </c>
      <c r="AB16" s="2">
        <v>82.954544067382813</v>
      </c>
      <c r="AC16" s="46" t="str">
        <f t="shared" si="9"/>
        <v>NRA*</v>
      </c>
      <c r="AD16" s="2">
        <v>40.163932800292969</v>
      </c>
      <c r="AE16" s="2">
        <v>36.589103698730469</v>
      </c>
      <c r="AF16" s="2"/>
      <c r="AG16" s="34">
        <f t="shared" si="10"/>
        <v>122</v>
      </c>
      <c r="AH16" s="34" t="str" cm="1">
        <f t="array" ref="AH16">IF(AG16="NR**","NR**",INDEX(trust_indicator_data!$A$2:$BE$127,(ROW()-ROW(trust_indicator_data!$A$1:$BE$1)),MATCH(selected_indic_name_adj,trust_indicator_data!$A$1:$BE$1,0)))</f>
        <v>NRA*</v>
      </c>
      <c r="AI16" s="34" t="str">
        <f>IF(AG16="NR**","NR**",IF(AH16="NRA*","NRA*",RANK(AH16,AH:AH,1)+COUNTIF($AH$2:AH16,AH16)-1))</f>
        <v>NRA*</v>
      </c>
      <c r="AJ16" s="34" cm="1">
        <f t="array" ref="AJ16">IF(AG16="NR**","NR**",INDEX(trust_indicator_data!$A$2:$BE$127,(ROW()-ROW(trust_indicator_data!$A$1:$BE$1)),MATCH(selected_indic_name_unadj,trust_indicator_data!$A$1:$BE$1,0)))</f>
        <v>42.016807556152344</v>
      </c>
      <c r="AK16" s="34">
        <f>IF(AG16="NR**","NR**",RANK(trust_indicator_data!AJ16,AJ:AJ,1)+COUNTIF($AJ$2:AJ16,AJ16)-1)</f>
        <v>23</v>
      </c>
      <c r="AM16" s="34" cm="1">
        <f t="array" ref="AM16">IF(AQ16&lt;10,0,INDEX(trust_indicator_data!$A$2:$BE$127,(ROW()-ROW(trust_indicator_data!$A$1:$BE$1)),MATCH(selected_indic_name_unadj,trust_indicator_data!$A$1:$BE$1,0)))</f>
        <v>42.016807556152344</v>
      </c>
      <c r="AN16" s="34">
        <f t="shared" si="11"/>
        <v>23</v>
      </c>
      <c r="AP16" s="34">
        <f>RANK(trust_indicator_data!$AQ16,AQ:AQ,1)+COUNTIF($AQ$2:AQ16,AQ16)-1</f>
        <v>17</v>
      </c>
      <c r="AQ16" s="34" cm="1">
        <f t="array" ref="AQ16">INDEX(trust_indicator_data!$A$2:$BE$127,(ROW()-ROW(trust_indicator_data!$A$1:$BE$1)),MATCH(selected_indic_denom,trust_indicator_data!$A$1:$BE$1,0))</f>
        <v>122</v>
      </c>
      <c r="AR16" s="34" cm="1">
        <f t="array" ref="AR16">INDEX(trust_indicator_data!$A$2:$BE$127,(ROW()-ROW(trust_indicator_data!$A$1:$BE$1)),MATCH(selected_indic_name_unadj,trust_indicator_data!$A$1:$BE$1,0))/100</f>
        <v>0.42016807556152341</v>
      </c>
      <c r="AS16" s="34">
        <f>IF(AQ16&lt;10,NA(),trust_indicator_data!$AR16)</f>
        <v>0.42016807556152341</v>
      </c>
      <c r="AU16" s="34">
        <f>INDEX(table_national_indic,MATCH($AU$1,national_indicator_data!$A$1:$A$17,0),MATCH(selected_indic_name_unadj,national_indicator_data!$A$1:$R$1,0))</f>
        <v>0.47675243377685544</v>
      </c>
      <c r="AV16" s="34">
        <f>INDEX(table_national_indic,MATCH($AV$1,national_indicator_data!$A$1:$A$7,0),MATCH(selected_indic_name_unadj,national_indicator_data!$A$1:$R$1,0))</f>
        <v>0.76214221292766271</v>
      </c>
      <c r="AW16" s="34">
        <f t="shared" si="0"/>
        <v>0.67160646688514414</v>
      </c>
      <c r="AX16" s="34">
        <f t="shared" si="1"/>
        <v>0.85267795897018128</v>
      </c>
      <c r="AY16" s="34">
        <f t="shared" si="2"/>
        <v>0.62633859386388491</v>
      </c>
      <c r="AZ16" s="34">
        <f t="shared" si="3"/>
        <v>0.89794583199144051</v>
      </c>
      <c r="BA16" s="34">
        <f>INDEX(table_national_indic,MATCH($BA$1,national_indicator_data!$A$1:$A$7,0),MATCH(selected_indic_name_unadj,national_indicator_data!$A$1:$R$1,0))</f>
        <v>0</v>
      </c>
      <c r="BB16" s="34">
        <f t="shared" si="4"/>
        <v>0.38718805443464493</v>
      </c>
      <c r="BC16" s="34">
        <f t="shared" si="12"/>
        <v>0.56707694812432907</v>
      </c>
      <c r="BD16" s="34">
        <f t="shared" si="13"/>
        <v>0.34360968727815167</v>
      </c>
      <c r="BE16" s="34">
        <f t="shared" si="14"/>
        <v>0.61159964762335473</v>
      </c>
      <c r="BG16">
        <f t="shared" si="15"/>
        <v>15</v>
      </c>
      <c r="BH16">
        <f t="shared" si="5"/>
        <v>117</v>
      </c>
      <c r="BI16" s="42">
        <f t="shared" si="16"/>
        <v>0.52293579101562504</v>
      </c>
      <c r="BJ16" s="42">
        <f t="shared" si="17"/>
        <v>0.38532395999562485</v>
      </c>
      <c r="BK16" s="42">
        <f t="shared" si="18"/>
        <v>0.56897343437084413</v>
      </c>
      <c r="BL16" s="42">
        <f t="shared" si="19"/>
        <v>0.34088492404743648</v>
      </c>
      <c r="BM16" s="42">
        <f t="shared" si="20"/>
        <v>0.61439678388690588</v>
      </c>
      <c r="BN16" s="42">
        <f t="shared" si="21"/>
        <v>0.47675243377685544</v>
      </c>
    </row>
    <row r="17" spans="1:66" x14ac:dyDescent="0.25">
      <c r="A17" t="s">
        <v>322</v>
      </c>
      <c r="B17" t="s">
        <v>321</v>
      </c>
      <c r="C17" t="s">
        <v>48</v>
      </c>
      <c r="D17" t="s">
        <v>46</v>
      </c>
      <c r="E17" s="2">
        <v>443</v>
      </c>
      <c r="F17" s="2">
        <v>396</v>
      </c>
      <c r="G17" s="2">
        <v>37</v>
      </c>
      <c r="H17" s="2">
        <v>80</v>
      </c>
      <c r="I17" s="2">
        <v>121</v>
      </c>
      <c r="J17" s="2">
        <v>98</v>
      </c>
      <c r="K17" s="2">
        <v>27</v>
      </c>
      <c r="L17" s="2">
        <v>43.735225677490234</v>
      </c>
      <c r="M17" s="46" t="str">
        <f t="shared" si="6"/>
        <v>NRA*</v>
      </c>
      <c r="N17" s="2">
        <v>54.460094451904297</v>
      </c>
      <c r="O17" s="46" t="str">
        <f t="shared" si="7"/>
        <v>NRA*</v>
      </c>
      <c r="P17" s="2">
        <v>75</v>
      </c>
      <c r="Q17" s="46" t="str">
        <f t="shared" si="8"/>
        <v>NRA*</v>
      </c>
      <c r="R17" s="2">
        <v>7.5757575035095215</v>
      </c>
      <c r="S17" s="2">
        <v>7.332789421081543</v>
      </c>
      <c r="T17" s="2">
        <v>62.162162780761719</v>
      </c>
      <c r="U17" s="4">
        <v>59.311439514160156</v>
      </c>
      <c r="V17" s="2">
        <v>76.859504699707031</v>
      </c>
      <c r="W17" s="2">
        <v>82.537925720214844</v>
      </c>
      <c r="X17" s="2">
        <v>44.444442749023438</v>
      </c>
      <c r="Y17" s="2">
        <v>45.650325775146484</v>
      </c>
      <c r="Z17" s="2">
        <v>51.020408630371094</v>
      </c>
      <c r="AA17" s="2">
        <v>50.352676391601563</v>
      </c>
      <c r="AB17" s="2">
        <v>91.768295288085938</v>
      </c>
      <c r="AC17" s="46" t="str">
        <f t="shared" si="9"/>
        <v>NRA*</v>
      </c>
      <c r="AD17" s="2">
        <v>42.092456817626953</v>
      </c>
      <c r="AE17" s="2">
        <v>47.891990661621094</v>
      </c>
      <c r="AF17" s="2"/>
      <c r="AG17" s="4">
        <f t="shared" si="10"/>
        <v>443</v>
      </c>
      <c r="AH17" s="4" t="str" cm="1">
        <f t="array" ref="AH17">IF(AG17="NR**","NR**",INDEX(trust_indicator_data!$A$2:$BE$127,(ROW()-ROW(trust_indicator_data!$A$1:$BE$1)),MATCH(selected_indic_name_adj,trust_indicator_data!$A$1:$BE$1,0)))</f>
        <v>NRA*</v>
      </c>
      <c r="AI17" s="4" t="str">
        <f>IF(AG17="NR**","NR**",IF(AH17="NRA*","NRA*",RANK(AH17,AH:AH,1)+COUNTIF($AH$2:AH17,AH17)-1))</f>
        <v>NRA*</v>
      </c>
      <c r="AJ17" s="4" cm="1">
        <f t="array" ref="AJ17">IF(AG17="NR**","NR**",INDEX(trust_indicator_data!$A$2:$BE$127,(ROW()-ROW(trust_indicator_data!$A$1:$BE$1)),MATCH(selected_indic_name_unadj,trust_indicator_data!$A$1:$BE$1,0)))</f>
        <v>43.735225677490234</v>
      </c>
      <c r="AK17" s="4">
        <f>IF(AG17="NR**","NR**",RANK(trust_indicator_data!AJ17,AJ:AJ,1)+COUNTIF($AJ$2:AJ17,AJ17)-1)</f>
        <v>31</v>
      </c>
      <c r="AM17" s="4" cm="1">
        <f t="array" ref="AM17">IF(AQ17&lt;10,0,INDEX(trust_indicator_data!$A$2:$BE$127,(ROW()-ROW(trust_indicator_data!$A$1:$BE$1)),MATCH(selected_indic_name_unadj,trust_indicator_data!$A$1:$BE$1,0)))</f>
        <v>43.735225677490234</v>
      </c>
      <c r="AN17" s="4">
        <f t="shared" si="11"/>
        <v>31</v>
      </c>
      <c r="AP17" s="4">
        <f>RANK(trust_indicator_data!$AQ17,AQ:AQ,1)+COUNTIF($AQ$2:AQ17,AQ17)-1</f>
        <v>113</v>
      </c>
      <c r="AQ17" s="4" cm="1">
        <f t="array" ref="AQ17">INDEX(trust_indicator_data!$A$2:$BE$127,(ROW()-ROW(trust_indicator_data!$A$1:$BE$1)),MATCH(selected_indic_denom,trust_indicator_data!$A$1:$BE$1,0))</f>
        <v>443</v>
      </c>
      <c r="AR17" s="4" cm="1">
        <f t="array" ref="AR17">INDEX(trust_indicator_data!$A$2:$BE$127,(ROW()-ROW(trust_indicator_data!$A$1:$BE$1)),MATCH(selected_indic_name_unadj,trust_indicator_data!$A$1:$BE$1,0))/100</f>
        <v>0.43735225677490236</v>
      </c>
      <c r="AS17" s="4">
        <f>IF(AQ17&lt;10,NA(),trust_indicator_data!$AR17)</f>
        <v>0.43735225677490236</v>
      </c>
      <c r="AU17" s="4">
        <f>INDEX(table_national_indic,MATCH($AU$1,national_indicator_data!$A$1:$A$17,0),MATCH(selected_indic_name_unadj,national_indicator_data!$A$1:$R$1,0))</f>
        <v>0.47675243377685544</v>
      </c>
      <c r="AV17" s="4">
        <f>INDEX(table_national_indic,MATCH($AV$1,national_indicator_data!$A$1:$A$7,0),MATCH(selected_indic_name_unadj,national_indicator_data!$A$1:$R$1,0))</f>
        <v>0.76214221292766271</v>
      </c>
      <c r="AW17" s="4">
        <f t="shared" si="0"/>
        <v>0.71463077911310469</v>
      </c>
      <c r="AX17" s="4">
        <f t="shared" si="1"/>
        <v>0.80965364674222073</v>
      </c>
      <c r="AY17" s="4">
        <f t="shared" si="2"/>
        <v>0.69087506220582573</v>
      </c>
      <c r="AZ17" s="4">
        <f t="shared" si="3"/>
        <v>0.83340936364949969</v>
      </c>
      <c r="BA17" s="4">
        <f>INDEX(table_national_indic,MATCH($BA$1,national_indicator_data!$A$1:$A$7,0),MATCH(selected_indic_name_unadj,national_indicator_data!$A$1:$R$1,0))</f>
        <v>0</v>
      </c>
      <c r="BB17" s="4">
        <f t="shared" si="4"/>
        <v>0.42946864895654246</v>
      </c>
      <c r="BC17" s="4">
        <f t="shared" si="12"/>
        <v>0.52424597100314385</v>
      </c>
      <c r="BD17" s="4">
        <f t="shared" si="13"/>
        <v>0.40603891204293407</v>
      </c>
      <c r="BE17" s="4">
        <f t="shared" si="14"/>
        <v>0.54793745463529808</v>
      </c>
      <c r="BG17">
        <f t="shared" si="15"/>
        <v>16</v>
      </c>
      <c r="BH17">
        <f t="shared" si="5"/>
        <v>119</v>
      </c>
      <c r="BI17" s="42">
        <f t="shared" si="16"/>
        <v>0.6036035919189453</v>
      </c>
      <c r="BJ17" s="42">
        <f t="shared" si="17"/>
        <v>0.38608348536574499</v>
      </c>
      <c r="BK17" s="42">
        <f t="shared" si="18"/>
        <v>0.56820062655465386</v>
      </c>
      <c r="BL17" s="42">
        <f t="shared" si="19"/>
        <v>0.34199479487475182</v>
      </c>
      <c r="BM17" s="42">
        <f t="shared" si="20"/>
        <v>0.61325723865724424</v>
      </c>
      <c r="BN17" s="42">
        <f t="shared" si="21"/>
        <v>0.47675243377685544</v>
      </c>
    </row>
    <row r="18" spans="1:66" x14ac:dyDescent="0.25">
      <c r="A18" t="s">
        <v>186</v>
      </c>
      <c r="B18" t="s">
        <v>185</v>
      </c>
      <c r="C18" t="s">
        <v>512</v>
      </c>
      <c r="D18" t="s">
        <v>70</v>
      </c>
      <c r="E18" s="2">
        <v>94</v>
      </c>
      <c r="F18" s="2">
        <v>85</v>
      </c>
      <c r="G18" s="2">
        <v>9</v>
      </c>
      <c r="H18" s="2">
        <v>10</v>
      </c>
      <c r="I18" s="2">
        <v>11</v>
      </c>
      <c r="J18" s="2">
        <v>21</v>
      </c>
      <c r="K18" s="2">
        <v>8</v>
      </c>
      <c r="L18" s="2">
        <v>63.218391418457031</v>
      </c>
      <c r="M18" s="46" t="str">
        <f t="shared" si="6"/>
        <v>NRA*</v>
      </c>
      <c r="N18" s="2">
        <v>48.648647308349609</v>
      </c>
      <c r="O18" s="46" t="str">
        <f t="shared" si="7"/>
        <v>NRA*</v>
      </c>
      <c r="P18" s="2">
        <v>100</v>
      </c>
      <c r="Q18" s="46" t="str">
        <f t="shared" si="8"/>
        <v>NRA*</v>
      </c>
      <c r="R18" s="2">
        <v>11.764705657958984</v>
      </c>
      <c r="S18" s="2">
        <v>14.804767608642578</v>
      </c>
      <c r="T18" s="2"/>
      <c r="V18" s="2">
        <v>90.909088134765625</v>
      </c>
      <c r="W18" s="2">
        <v>84.979270935058594</v>
      </c>
      <c r="X18" s="2"/>
      <c r="Y18" s="2"/>
      <c r="Z18" s="2">
        <v>80.952377319335938</v>
      </c>
      <c r="AA18" s="2">
        <v>79.49444580078125</v>
      </c>
      <c r="AB18" s="2">
        <v>95.08197021484375</v>
      </c>
      <c r="AC18" s="46" t="str">
        <f t="shared" si="9"/>
        <v>NRA*</v>
      </c>
      <c r="AD18" s="2">
        <v>40.217391967773438</v>
      </c>
      <c r="AE18" s="2">
        <v>41.000701904296875</v>
      </c>
      <c r="AF18" s="2"/>
      <c r="AG18" s="34">
        <f t="shared" si="10"/>
        <v>94</v>
      </c>
      <c r="AH18" s="34" t="str" cm="1">
        <f t="array" ref="AH18">IF(AG18="NR**","NR**",INDEX(trust_indicator_data!$A$2:$BE$127,(ROW()-ROW(trust_indicator_data!$A$1:$BE$1)),MATCH(selected_indic_name_adj,trust_indicator_data!$A$1:$BE$1,0)))</f>
        <v>NRA*</v>
      </c>
      <c r="AI18" s="34" t="str">
        <f>IF(AG18="NR**","NR**",IF(AH18="NRA*","NRA*",RANK(AH18,AH:AH,1)+COUNTIF($AH$2:AH18,AH18)-1))</f>
        <v>NRA*</v>
      </c>
      <c r="AJ18" s="34" cm="1">
        <f t="array" ref="AJ18">IF(AG18="NR**","NR**",INDEX(trust_indicator_data!$A$2:$BE$127,(ROW()-ROW(trust_indicator_data!$A$1:$BE$1)),MATCH(selected_indic_name_unadj,trust_indicator_data!$A$1:$BE$1,0)))</f>
        <v>63.218391418457031</v>
      </c>
      <c r="AK18" s="34">
        <f>IF(AG18="NR**","NR**",RANK(trust_indicator_data!AJ18,AJ:AJ,1)+COUNTIF($AJ$2:AJ18,AJ18)-1)</f>
        <v>123</v>
      </c>
      <c r="AM18" s="34" cm="1">
        <f t="array" ref="AM18">IF(AQ18&lt;10,0,INDEX(trust_indicator_data!$A$2:$BE$127,(ROW()-ROW(trust_indicator_data!$A$1:$BE$1)),MATCH(selected_indic_name_unadj,trust_indicator_data!$A$1:$BE$1,0)))</f>
        <v>63.218391418457031</v>
      </c>
      <c r="AN18" s="34">
        <f t="shared" si="11"/>
        <v>123</v>
      </c>
      <c r="AP18" s="34">
        <f>RANK(trust_indicator_data!$AQ18,AQ:AQ,1)+COUNTIF($AQ$2:AQ18,AQ18)-1</f>
        <v>6</v>
      </c>
      <c r="AQ18" s="34" cm="1">
        <f t="array" ref="AQ18">INDEX(trust_indicator_data!$A$2:$BE$127,(ROW()-ROW(trust_indicator_data!$A$1:$BE$1)),MATCH(selected_indic_denom,trust_indicator_data!$A$1:$BE$1,0))</f>
        <v>94</v>
      </c>
      <c r="AR18" s="34" cm="1">
        <f t="array" ref="AR18">INDEX(trust_indicator_data!$A$2:$BE$127,(ROW()-ROW(trust_indicator_data!$A$1:$BE$1)),MATCH(selected_indic_name_unadj,trust_indicator_data!$A$1:$BE$1,0))/100</f>
        <v>0.63218391418457032</v>
      </c>
      <c r="AS18" s="34">
        <f>IF(AQ18&lt;10,NA(),trust_indicator_data!$AR18)</f>
        <v>0.63218391418457032</v>
      </c>
      <c r="AU18" s="34">
        <f>INDEX(table_national_indic,MATCH($AU$1,national_indicator_data!$A$1:$A$17,0),MATCH(selected_indic_name_unadj,national_indicator_data!$A$1:$R$1,0))</f>
        <v>0.47675243377685544</v>
      </c>
      <c r="AV18" s="34">
        <f>INDEX(table_national_indic,MATCH($AV$1,national_indicator_data!$A$1:$A$7,0),MATCH(selected_indic_name_unadj,national_indicator_data!$A$1:$R$1,0))</f>
        <v>0.76214221292766271</v>
      </c>
      <c r="AW18" s="34">
        <f t="shared" si="0"/>
        <v>0.65900008830178336</v>
      </c>
      <c r="AX18" s="34">
        <f t="shared" si="1"/>
        <v>0.86528433755354206</v>
      </c>
      <c r="AY18" s="34">
        <f t="shared" si="2"/>
        <v>0.60742902598884374</v>
      </c>
      <c r="AZ18" s="34">
        <f t="shared" si="3"/>
        <v>0.91685539986648168</v>
      </c>
      <c r="BA18" s="34">
        <f>INDEX(table_national_indic,MATCH($BA$1,national_indicator_data!$A$1:$A$7,0),MATCH(selected_indic_name_unadj,national_indicator_data!$A$1:$R$1,0))</f>
        <v>0</v>
      </c>
      <c r="BB18" s="34">
        <f t="shared" si="4"/>
        <v>0.37494389339014722</v>
      </c>
      <c r="BC18" s="34">
        <f t="shared" si="12"/>
        <v>0.57954672926525796</v>
      </c>
      <c r="BD18" s="34">
        <f t="shared" si="13"/>
        <v>0.32576500890382482</v>
      </c>
      <c r="BE18" s="34">
        <f t="shared" si="14"/>
        <v>0.62994798675189656</v>
      </c>
      <c r="BG18">
        <f t="shared" si="15"/>
        <v>17</v>
      </c>
      <c r="BH18">
        <f t="shared" si="5"/>
        <v>122</v>
      </c>
      <c r="BI18" s="42">
        <f t="shared" si="16"/>
        <v>0.42016807556152341</v>
      </c>
      <c r="BJ18" s="42">
        <f t="shared" si="17"/>
        <v>0.38718805443464493</v>
      </c>
      <c r="BK18" s="42">
        <f t="shared" si="18"/>
        <v>0.56707694812432907</v>
      </c>
      <c r="BL18" s="42">
        <f t="shared" si="19"/>
        <v>0.34360968727815167</v>
      </c>
      <c r="BM18" s="42">
        <f t="shared" si="20"/>
        <v>0.61159964762335473</v>
      </c>
      <c r="BN18" s="42">
        <f t="shared" si="21"/>
        <v>0.47675243377685544</v>
      </c>
    </row>
    <row r="19" spans="1:66" x14ac:dyDescent="0.25">
      <c r="A19" t="s">
        <v>228</v>
      </c>
      <c r="B19" t="s">
        <v>227</v>
      </c>
      <c r="C19" t="s">
        <v>36</v>
      </c>
      <c r="D19" t="s">
        <v>34</v>
      </c>
      <c r="E19" s="2">
        <v>148</v>
      </c>
      <c r="F19" s="2">
        <v>131</v>
      </c>
      <c r="G19" s="2">
        <v>15</v>
      </c>
      <c r="H19" s="2">
        <v>16</v>
      </c>
      <c r="I19" s="2">
        <v>21</v>
      </c>
      <c r="J19" s="2">
        <v>21</v>
      </c>
      <c r="K19" s="2">
        <v>13</v>
      </c>
      <c r="L19" s="2">
        <v>48.333332061767578</v>
      </c>
      <c r="M19" s="46" t="str">
        <f t="shared" si="6"/>
        <v>NRA*</v>
      </c>
      <c r="N19" s="2">
        <v>45.652172088623047</v>
      </c>
      <c r="O19" s="46" t="str">
        <f t="shared" si="7"/>
        <v>NRA*</v>
      </c>
      <c r="P19" s="2">
        <v>100</v>
      </c>
      <c r="Q19" s="46" t="str">
        <f t="shared" si="8"/>
        <v>NRA*</v>
      </c>
      <c r="R19" s="2">
        <v>18.320610046386719</v>
      </c>
      <c r="S19" s="2">
        <v>20.786050796508789</v>
      </c>
      <c r="T19" s="2">
        <v>80</v>
      </c>
      <c r="U19" s="4">
        <v>79.55767822265625</v>
      </c>
      <c r="V19" s="2">
        <v>80.952377319335938</v>
      </c>
      <c r="W19" s="2">
        <v>74.4061279296875</v>
      </c>
      <c r="X19" s="2">
        <v>76.923080444335938</v>
      </c>
      <c r="Y19" s="2">
        <v>65.564170837402344</v>
      </c>
      <c r="Z19" s="2">
        <v>80.952377319335938</v>
      </c>
      <c r="AA19" s="2">
        <v>76.761558532714844</v>
      </c>
      <c r="AB19" s="2">
        <v>95.698921203613281</v>
      </c>
      <c r="AC19" s="46" t="str">
        <f t="shared" si="9"/>
        <v>NRA*</v>
      </c>
      <c r="AD19" s="2">
        <v>35.135135650634766</v>
      </c>
      <c r="AE19" s="2">
        <v>34.981189727783203</v>
      </c>
      <c r="AF19" s="2"/>
      <c r="AG19" s="4">
        <f t="shared" si="10"/>
        <v>148</v>
      </c>
      <c r="AH19" s="4" t="str" cm="1">
        <f t="array" ref="AH19">IF(AG19="NR**","NR**",INDEX(trust_indicator_data!$A$2:$BE$127,(ROW()-ROW(trust_indicator_data!$A$1:$BE$1)),MATCH(selected_indic_name_adj,trust_indicator_data!$A$1:$BE$1,0)))</f>
        <v>NRA*</v>
      </c>
      <c r="AI19" s="4" t="str">
        <f>IF(AG19="NR**","NR**",IF(AH19="NRA*","NRA*",RANK(AH19,AH:AH,1)+COUNTIF($AH$2:AH19,AH19)-1))</f>
        <v>NRA*</v>
      </c>
      <c r="AJ19" s="4" cm="1">
        <f t="array" ref="AJ19">IF(AG19="NR**","NR**",INDEX(trust_indicator_data!$A$2:$BE$127,(ROW()-ROW(trust_indicator_data!$A$1:$BE$1)),MATCH(selected_indic_name_unadj,trust_indicator_data!$A$1:$BE$1,0)))</f>
        <v>48.333332061767578</v>
      </c>
      <c r="AK19" s="4">
        <f>IF(AG19="NR**","NR**",RANK(trust_indicator_data!AJ19,AJ:AJ,1)+COUNTIF($AJ$2:AJ19,AJ19)-1)</f>
        <v>56</v>
      </c>
      <c r="AM19" s="4" cm="1">
        <f t="array" ref="AM19">IF(AQ19&lt;10,0,INDEX(trust_indicator_data!$A$2:$BE$127,(ROW()-ROW(trust_indicator_data!$A$1:$BE$1)),MATCH(selected_indic_name_unadj,trust_indicator_data!$A$1:$BE$1,0)))</f>
        <v>48.333332061767578</v>
      </c>
      <c r="AN19" s="4">
        <f t="shared" si="11"/>
        <v>56</v>
      </c>
      <c r="AP19" s="4">
        <f>RANK(trust_indicator_data!$AQ19,AQ:AQ,1)+COUNTIF($AQ$2:AQ19,AQ19)-1</f>
        <v>26</v>
      </c>
      <c r="AQ19" s="4" cm="1">
        <f t="array" ref="AQ19">INDEX(trust_indicator_data!$A$2:$BE$127,(ROW()-ROW(trust_indicator_data!$A$1:$BE$1)),MATCH(selected_indic_denom,trust_indicator_data!$A$1:$BE$1,0))</f>
        <v>148</v>
      </c>
      <c r="AR19" s="4" cm="1">
        <f t="array" ref="AR19">INDEX(trust_indicator_data!$A$2:$BE$127,(ROW()-ROW(trust_indicator_data!$A$1:$BE$1)),MATCH(selected_indic_name_unadj,trust_indicator_data!$A$1:$BE$1,0))/100</f>
        <v>0.48333332061767575</v>
      </c>
      <c r="AS19" s="4">
        <f>IF(AQ19&lt;10,NA(),trust_indicator_data!$AR19)</f>
        <v>0.48333332061767575</v>
      </c>
      <c r="AU19" s="4">
        <f>INDEX(table_national_indic,MATCH($AU$1,national_indicator_data!$A$1:$A$17,0),MATCH(selected_indic_name_unadj,national_indicator_data!$A$1:$R$1,0))</f>
        <v>0.47675243377685544</v>
      </c>
      <c r="AV19" s="4">
        <f>INDEX(table_national_indic,MATCH($AV$1,national_indicator_data!$A$1:$A$7,0),MATCH(selected_indic_name_unadj,national_indicator_data!$A$1:$R$1,0))</f>
        <v>0.76214221292766271</v>
      </c>
      <c r="AW19" s="4">
        <f t="shared" si="0"/>
        <v>0.67994271927498406</v>
      </c>
      <c r="AX19" s="4">
        <f t="shared" si="1"/>
        <v>0.84434170658034136</v>
      </c>
      <c r="AY19" s="4">
        <f t="shared" si="2"/>
        <v>0.63884297244864474</v>
      </c>
      <c r="AZ19" s="4">
        <f t="shared" si="3"/>
        <v>0.88544145340668068</v>
      </c>
      <c r="BA19" s="4">
        <f>INDEX(table_national_indic,MATCH($BA$1,national_indicator_data!$A$1:$A$7,0),MATCH(selected_indic_name_unadj,national_indicator_data!$A$1:$R$1,0))</f>
        <v>0</v>
      </c>
      <c r="BB19" s="4">
        <f t="shared" si="4"/>
        <v>0.39532465494754709</v>
      </c>
      <c r="BC19" s="4">
        <f t="shared" si="12"/>
        <v>0.55880711136258576</v>
      </c>
      <c r="BD19" s="4">
        <f t="shared" si="13"/>
        <v>0.35553432925743367</v>
      </c>
      <c r="BE19" s="4">
        <f t="shared" si="14"/>
        <v>0.59937709211636936</v>
      </c>
      <c r="BG19">
        <f t="shared" si="15"/>
        <v>18</v>
      </c>
      <c r="BH19">
        <f t="shared" si="5"/>
        <v>126</v>
      </c>
      <c r="BI19" s="42">
        <f t="shared" si="16"/>
        <v>0.48148147583007811</v>
      </c>
      <c r="BJ19" s="42">
        <f t="shared" si="17"/>
        <v>0.38859983678041921</v>
      </c>
      <c r="BK19" s="42">
        <f t="shared" si="18"/>
        <v>0.56564109838501442</v>
      </c>
      <c r="BL19" s="42">
        <f t="shared" si="19"/>
        <v>0.34567512648902277</v>
      </c>
      <c r="BM19" s="42">
        <f t="shared" si="20"/>
        <v>0.60948042084362841</v>
      </c>
      <c r="BN19" s="42">
        <f t="shared" si="21"/>
        <v>0.47675243377685544</v>
      </c>
    </row>
    <row r="20" spans="1:66" x14ac:dyDescent="0.25">
      <c r="A20" t="s">
        <v>240</v>
      </c>
      <c r="B20" t="s">
        <v>239</v>
      </c>
      <c r="C20" t="s">
        <v>60</v>
      </c>
      <c r="D20" t="s">
        <v>58</v>
      </c>
      <c r="E20" s="2">
        <v>367</v>
      </c>
      <c r="F20" s="2">
        <v>345</v>
      </c>
      <c r="G20" s="2">
        <v>20</v>
      </c>
      <c r="H20" s="2">
        <v>62</v>
      </c>
      <c r="I20" s="2">
        <v>78</v>
      </c>
      <c r="J20" s="2">
        <v>38</v>
      </c>
      <c r="K20" s="2">
        <v>27</v>
      </c>
      <c r="L20" s="2">
        <v>39.616615295410156</v>
      </c>
      <c r="M20" s="46" t="str">
        <f t="shared" si="6"/>
        <v>NRA*</v>
      </c>
      <c r="N20" s="2">
        <v>58.498023986816406</v>
      </c>
      <c r="O20" s="46" t="str">
        <f t="shared" si="7"/>
        <v>NRA*</v>
      </c>
      <c r="P20" s="2">
        <v>83.870964050292969</v>
      </c>
      <c r="Q20" s="46" t="str">
        <f t="shared" si="8"/>
        <v>NRA*</v>
      </c>
      <c r="R20" s="2">
        <v>17.971014022827148</v>
      </c>
      <c r="S20" s="2">
        <v>16.816825866699219</v>
      </c>
      <c r="T20" s="2">
        <v>75</v>
      </c>
      <c r="U20" s="4">
        <v>68.07318115234375</v>
      </c>
      <c r="V20" s="2">
        <v>84.615386962890625</v>
      </c>
      <c r="W20" s="2">
        <v>85.881240844726563</v>
      </c>
      <c r="X20" s="2">
        <v>55.555557250976563</v>
      </c>
      <c r="Y20" s="2">
        <v>51.909191131591797</v>
      </c>
      <c r="Z20" s="2">
        <v>44.736843109130859</v>
      </c>
      <c r="AA20" s="2">
        <v>45.842941284179688</v>
      </c>
      <c r="AB20" s="2">
        <v>97.3856201171875</v>
      </c>
      <c r="AC20" s="46" t="str">
        <f t="shared" si="9"/>
        <v>NRA*</v>
      </c>
      <c r="AD20" s="2">
        <v>41.587303161621094</v>
      </c>
      <c r="AE20" s="2">
        <v>39.147689819335938</v>
      </c>
      <c r="AF20" s="2"/>
      <c r="AG20" s="34">
        <f t="shared" si="10"/>
        <v>367</v>
      </c>
      <c r="AH20" s="34" t="str" cm="1">
        <f t="array" ref="AH20">IF(AG20="NR**","NR**",INDEX(trust_indicator_data!$A$2:$BE$127,(ROW()-ROW(trust_indicator_data!$A$1:$BE$1)),MATCH(selected_indic_name_adj,trust_indicator_data!$A$1:$BE$1,0)))</f>
        <v>NRA*</v>
      </c>
      <c r="AI20" s="34" t="str">
        <f>IF(AG20="NR**","NR**",IF(AH20="NRA*","NRA*",RANK(AH20,AH:AH,1)+COUNTIF($AH$2:AH20,AH20)-1))</f>
        <v>NRA*</v>
      </c>
      <c r="AJ20" s="34" cm="1">
        <f t="array" ref="AJ20">IF(AG20="NR**","NR**",INDEX(trust_indicator_data!$A$2:$BE$127,(ROW()-ROW(trust_indicator_data!$A$1:$BE$1)),MATCH(selected_indic_name_unadj,trust_indicator_data!$A$1:$BE$1,0)))</f>
        <v>39.616615295410156</v>
      </c>
      <c r="AK20" s="34">
        <f>IF(AG20="NR**","NR**",RANK(trust_indicator_data!AJ20,AJ:AJ,1)+COUNTIF($AJ$2:AJ20,AJ20)-1)</f>
        <v>16</v>
      </c>
      <c r="AM20" s="34" cm="1">
        <f t="array" ref="AM20">IF(AQ20&lt;10,0,INDEX(trust_indicator_data!$A$2:$BE$127,(ROW()-ROW(trust_indicator_data!$A$1:$BE$1)),MATCH(selected_indic_name_unadj,trust_indicator_data!$A$1:$BE$1,0)))</f>
        <v>39.616615295410156</v>
      </c>
      <c r="AN20" s="34">
        <f t="shared" si="11"/>
        <v>16</v>
      </c>
      <c r="AP20" s="34">
        <f>RANK(trust_indicator_data!$AQ20,AQ:AQ,1)+COUNTIF($AQ$2:AQ20,AQ20)-1</f>
        <v>102</v>
      </c>
      <c r="AQ20" s="34" cm="1">
        <f t="array" ref="AQ20">INDEX(trust_indicator_data!$A$2:$BE$127,(ROW()-ROW(trust_indicator_data!$A$1:$BE$1)),MATCH(selected_indic_denom,trust_indicator_data!$A$1:$BE$1,0))</f>
        <v>367</v>
      </c>
      <c r="AR20" s="34" cm="1">
        <f t="array" ref="AR20">INDEX(trust_indicator_data!$A$2:$BE$127,(ROW()-ROW(trust_indicator_data!$A$1:$BE$1)),MATCH(selected_indic_name_unadj,trust_indicator_data!$A$1:$BE$1,0))/100</f>
        <v>0.39616615295410157</v>
      </c>
      <c r="AS20" s="34">
        <f>IF(AQ20&lt;10,NA(),trust_indicator_data!$AR20)</f>
        <v>0.39616615295410157</v>
      </c>
      <c r="AU20" s="34">
        <f>INDEX(table_national_indic,MATCH($AU$1,national_indicator_data!$A$1:$A$17,0),MATCH(selected_indic_name_unadj,national_indicator_data!$A$1:$R$1,0))</f>
        <v>0.47675243377685544</v>
      </c>
      <c r="AV20" s="34">
        <f>INDEX(table_national_indic,MATCH($AV$1,national_indicator_data!$A$1:$A$7,0),MATCH(selected_indic_name_unadj,national_indicator_data!$A$1:$R$1,0))</f>
        <v>0.76214221292766271</v>
      </c>
      <c r="AW20" s="34">
        <f t="shared" si="0"/>
        <v>0.70994263783047462</v>
      </c>
      <c r="AX20" s="34">
        <f t="shared" si="1"/>
        <v>0.8143417880248508</v>
      </c>
      <c r="AY20" s="34">
        <f t="shared" si="2"/>
        <v>0.68384285028188063</v>
      </c>
      <c r="AZ20" s="34">
        <f t="shared" si="3"/>
        <v>0.84044157557344479</v>
      </c>
      <c r="BA20" s="34">
        <f>INDEX(table_national_indic,MATCH($BA$1,national_indicator_data!$A$1:$A$7,0),MATCH(selected_indic_name_unadj,national_indicator_data!$A$1:$R$1,0))</f>
        <v>0</v>
      </c>
      <c r="BB20" s="34">
        <f t="shared" si="4"/>
        <v>0.42483055432856393</v>
      </c>
      <c r="BC20" s="34">
        <f t="shared" si="12"/>
        <v>0.52892746264135548</v>
      </c>
      <c r="BD20" s="34">
        <f t="shared" si="13"/>
        <v>0.39914150723852826</v>
      </c>
      <c r="BE20" s="34">
        <f t="shared" si="14"/>
        <v>0.55493230000870042</v>
      </c>
      <c r="BG20">
        <f t="shared" si="15"/>
        <v>19</v>
      </c>
      <c r="BH20">
        <f t="shared" si="5"/>
        <v>127</v>
      </c>
      <c r="BI20" s="42">
        <f t="shared" si="16"/>
        <v>0.49579830169677735</v>
      </c>
      <c r="BJ20" s="42">
        <f t="shared" si="17"/>
        <v>0.38894246046304543</v>
      </c>
      <c r="BK20" s="42">
        <f t="shared" si="18"/>
        <v>0.56529269411469785</v>
      </c>
      <c r="BL20" s="42">
        <f t="shared" si="19"/>
        <v>0.34617661927822518</v>
      </c>
      <c r="BM20" s="42">
        <f t="shared" si="20"/>
        <v>0.60896600742558982</v>
      </c>
      <c r="BN20" s="42">
        <f t="shared" si="21"/>
        <v>0.47675243377685544</v>
      </c>
    </row>
    <row r="21" spans="1:66" x14ac:dyDescent="0.25">
      <c r="A21" t="s">
        <v>114</v>
      </c>
      <c r="B21" t="s">
        <v>113</v>
      </c>
      <c r="C21" t="s">
        <v>69</v>
      </c>
      <c r="D21" t="s">
        <v>67</v>
      </c>
      <c r="E21" s="2">
        <v>156</v>
      </c>
      <c r="F21" s="2">
        <v>149</v>
      </c>
      <c r="G21" s="2">
        <v>7</v>
      </c>
      <c r="H21" s="2">
        <v>38</v>
      </c>
      <c r="I21" s="2">
        <v>45</v>
      </c>
      <c r="J21" s="2">
        <v>34</v>
      </c>
      <c r="K21" s="2">
        <v>12</v>
      </c>
      <c r="L21" s="2">
        <v>48.993289947509766</v>
      </c>
      <c r="M21" s="46" t="str">
        <f t="shared" si="6"/>
        <v>NRA*</v>
      </c>
      <c r="N21" s="2">
        <v>57.894737243652344</v>
      </c>
      <c r="O21" s="46" t="str">
        <f t="shared" si="7"/>
        <v>NRA*</v>
      </c>
      <c r="P21" s="2">
        <v>71.052635192871094</v>
      </c>
      <c r="Q21" s="46" t="str">
        <f t="shared" si="8"/>
        <v>NRA*</v>
      </c>
      <c r="R21" s="2">
        <v>18.791946411132813</v>
      </c>
      <c r="S21" s="2">
        <v>18.139560699462891</v>
      </c>
      <c r="T21" s="2"/>
      <c r="V21" s="2">
        <v>77.777778625488281</v>
      </c>
      <c r="W21" s="2">
        <v>85.18121337890625</v>
      </c>
      <c r="X21" s="2">
        <v>58.333332061767578</v>
      </c>
      <c r="Y21" s="2">
        <v>57.384159088134766</v>
      </c>
      <c r="Z21" s="2">
        <v>55.882354736328125</v>
      </c>
      <c r="AA21" s="2">
        <v>58.946941375732422</v>
      </c>
      <c r="AB21" s="2">
        <v>92.857139587402344</v>
      </c>
      <c r="AC21" s="46" t="str">
        <f t="shared" si="9"/>
        <v>NRA*</v>
      </c>
      <c r="AD21" s="2">
        <v>32.903224945068359</v>
      </c>
      <c r="AE21" s="2">
        <v>36.706245422363281</v>
      </c>
      <c r="AF21" s="2"/>
      <c r="AG21" s="4">
        <f t="shared" si="10"/>
        <v>156</v>
      </c>
      <c r="AH21" s="4" t="str" cm="1">
        <f t="array" ref="AH21">IF(AG21="NR**","NR**",INDEX(trust_indicator_data!$A$2:$BE$127,(ROW()-ROW(trust_indicator_data!$A$1:$BE$1)),MATCH(selected_indic_name_adj,trust_indicator_data!$A$1:$BE$1,0)))</f>
        <v>NRA*</v>
      </c>
      <c r="AI21" s="4" t="str">
        <f>IF(AG21="NR**","NR**",IF(AH21="NRA*","NRA*",RANK(AH21,AH:AH,1)+COUNTIF($AH$2:AH21,AH21)-1))</f>
        <v>NRA*</v>
      </c>
      <c r="AJ21" s="4" cm="1">
        <f t="array" ref="AJ21">IF(AG21="NR**","NR**",INDEX(trust_indicator_data!$A$2:$BE$127,(ROW()-ROW(trust_indicator_data!$A$1:$BE$1)),MATCH(selected_indic_name_unadj,trust_indicator_data!$A$1:$BE$1,0)))</f>
        <v>48.993289947509766</v>
      </c>
      <c r="AK21" s="4">
        <f>IF(AG21="NR**","NR**",RANK(trust_indicator_data!AJ21,AJ:AJ,1)+COUNTIF($AJ$2:AJ21,AJ21)-1)</f>
        <v>59</v>
      </c>
      <c r="AM21" s="4" cm="1">
        <f t="array" ref="AM21">IF(AQ21&lt;10,0,INDEX(trust_indicator_data!$A$2:$BE$127,(ROW()-ROW(trust_indicator_data!$A$1:$BE$1)),MATCH(selected_indic_name_unadj,trust_indicator_data!$A$1:$BE$1,0)))</f>
        <v>48.993289947509766</v>
      </c>
      <c r="AN21" s="4">
        <f t="shared" si="11"/>
        <v>59</v>
      </c>
      <c r="AP21" s="4">
        <f>RANK(trust_indicator_data!$AQ21,AQ:AQ,1)+COUNTIF($AQ$2:AQ21,AQ21)-1</f>
        <v>29</v>
      </c>
      <c r="AQ21" s="4" cm="1">
        <f t="array" ref="AQ21">INDEX(trust_indicator_data!$A$2:$BE$127,(ROW()-ROW(trust_indicator_data!$A$1:$BE$1)),MATCH(selected_indic_denom,trust_indicator_data!$A$1:$BE$1,0))</f>
        <v>156</v>
      </c>
      <c r="AR21" s="4" cm="1">
        <f t="array" ref="AR21">INDEX(trust_indicator_data!$A$2:$BE$127,(ROW()-ROW(trust_indicator_data!$A$1:$BE$1)),MATCH(selected_indic_name_unadj,trust_indicator_data!$A$1:$BE$1,0))/100</f>
        <v>0.48993289947509766</v>
      </c>
      <c r="AS21" s="4">
        <f>IF(AQ21&lt;10,NA(),trust_indicator_data!$AR21)</f>
        <v>0.48993289947509766</v>
      </c>
      <c r="AU21" s="4">
        <f>INDEX(table_national_indic,MATCH($AU$1,national_indicator_data!$A$1:$A$17,0),MATCH(selected_indic_name_unadj,national_indicator_data!$A$1:$R$1,0))</f>
        <v>0.47675243377685544</v>
      </c>
      <c r="AV21" s="4">
        <f>INDEX(table_national_indic,MATCH($AV$1,national_indicator_data!$A$1:$A$7,0),MATCH(selected_indic_name_unadj,national_indicator_data!$A$1:$R$1,0))</f>
        <v>0.76214221292766271</v>
      </c>
      <c r="AW21" s="4">
        <f t="shared" si="0"/>
        <v>0.68207813602511913</v>
      </c>
      <c r="AX21" s="4">
        <f t="shared" si="1"/>
        <v>0.84220628983020629</v>
      </c>
      <c r="AY21" s="4">
        <f t="shared" si="2"/>
        <v>0.64204609757384734</v>
      </c>
      <c r="AZ21" s="4">
        <f t="shared" si="3"/>
        <v>0.88223832828147808</v>
      </c>
      <c r="BA21" s="4">
        <f>INDEX(table_national_indic,MATCH($BA$1,national_indicator_data!$A$1:$A$7,0),MATCH(selected_indic_name_unadj,national_indicator_data!$A$1:$R$1,0))</f>
        <v>0</v>
      </c>
      <c r="BB21" s="4">
        <f t="shared" si="4"/>
        <v>0.39741370048870944</v>
      </c>
      <c r="BC21" s="4">
        <f t="shared" si="12"/>
        <v>0.55668598589509277</v>
      </c>
      <c r="BD21" s="4">
        <f t="shared" si="13"/>
        <v>0.35860378397648224</v>
      </c>
      <c r="BE21" s="4">
        <f t="shared" si="14"/>
        <v>0.59623585360376896</v>
      </c>
      <c r="BG21">
        <f t="shared" si="15"/>
        <v>20</v>
      </c>
      <c r="BH21">
        <f t="shared" si="5"/>
        <v>129</v>
      </c>
      <c r="BI21" s="42">
        <f t="shared" si="16"/>
        <v>0.46774192810058596</v>
      </c>
      <c r="BJ21" s="42">
        <f t="shared" si="17"/>
        <v>0.38961587659791991</v>
      </c>
      <c r="BK21" s="42">
        <f t="shared" si="18"/>
        <v>0.56460798497276299</v>
      </c>
      <c r="BL21" s="42">
        <f t="shared" si="19"/>
        <v>0.34716255153270065</v>
      </c>
      <c r="BM21" s="42">
        <f t="shared" si="20"/>
        <v>0.60795483136212491</v>
      </c>
      <c r="BN21" s="42">
        <f t="shared" si="21"/>
        <v>0.47675243377685544</v>
      </c>
    </row>
    <row r="22" spans="1:66" x14ac:dyDescent="0.25">
      <c r="A22" t="s">
        <v>300</v>
      </c>
      <c r="B22" t="s">
        <v>299</v>
      </c>
      <c r="C22" t="s">
        <v>27</v>
      </c>
      <c r="D22" t="s">
        <v>25</v>
      </c>
      <c r="E22" s="2">
        <v>211</v>
      </c>
      <c r="F22" s="2">
        <v>193</v>
      </c>
      <c r="G22" s="2">
        <v>15</v>
      </c>
      <c r="H22" s="2">
        <v>26</v>
      </c>
      <c r="I22" s="2">
        <v>28</v>
      </c>
      <c r="J22" s="2">
        <v>35</v>
      </c>
      <c r="K22" s="2">
        <v>7</v>
      </c>
      <c r="L22" s="2">
        <v>50.931678771972656</v>
      </c>
      <c r="M22" s="46" t="str">
        <f t="shared" si="6"/>
        <v>NRA*</v>
      </c>
      <c r="N22" s="2">
        <v>52.739727020263672</v>
      </c>
      <c r="O22" s="46" t="str">
        <f t="shared" si="7"/>
        <v>NRA*</v>
      </c>
      <c r="P22" s="2">
        <v>96.153846740722656</v>
      </c>
      <c r="Q22" s="46" t="str">
        <f t="shared" si="8"/>
        <v>NRA*</v>
      </c>
      <c r="R22" s="2">
        <v>9.8445596694946289</v>
      </c>
      <c r="S22" s="2">
        <v>11.922883033752441</v>
      </c>
      <c r="T22" s="2">
        <v>66.666664123535156</v>
      </c>
      <c r="U22" s="4">
        <v>69.007423400878906</v>
      </c>
      <c r="V22" s="2">
        <v>85.714286804199219</v>
      </c>
      <c r="W22" s="2">
        <v>80.444435119628906</v>
      </c>
      <c r="X22" s="2"/>
      <c r="Y22" s="2"/>
      <c r="Z22" s="2">
        <v>62.857143402099609</v>
      </c>
      <c r="AA22" s="2">
        <v>62.439994812011719</v>
      </c>
      <c r="AB22" s="2">
        <v>92.380950927734375</v>
      </c>
      <c r="AC22" s="46" t="str">
        <f t="shared" si="9"/>
        <v>NRA*</v>
      </c>
      <c r="AD22" s="2">
        <v>32.057415008544922</v>
      </c>
      <c r="AE22" s="2">
        <v>29.894353866577148</v>
      </c>
      <c r="AF22" s="2"/>
      <c r="AG22" s="34">
        <f t="shared" si="10"/>
        <v>211</v>
      </c>
      <c r="AH22" s="34" t="str" cm="1">
        <f t="array" ref="AH22">IF(AG22="NR**","NR**",INDEX(trust_indicator_data!$A$2:$BE$127,(ROW()-ROW(trust_indicator_data!$A$1:$BE$1)),MATCH(selected_indic_name_adj,trust_indicator_data!$A$1:$BE$1,0)))</f>
        <v>NRA*</v>
      </c>
      <c r="AI22" s="34" t="str">
        <f>IF(AG22="NR**","NR**",IF(AH22="NRA*","NRA*",RANK(AH22,AH:AH,1)+COUNTIF($AH$2:AH22,AH22)-1))</f>
        <v>NRA*</v>
      </c>
      <c r="AJ22" s="34" cm="1">
        <f t="array" ref="AJ22">IF(AG22="NR**","NR**",INDEX(trust_indicator_data!$A$2:$BE$127,(ROW()-ROW(trust_indicator_data!$A$1:$BE$1)),MATCH(selected_indic_name_unadj,trust_indicator_data!$A$1:$BE$1,0)))</f>
        <v>50.931678771972656</v>
      </c>
      <c r="AK22" s="34">
        <f>IF(AG22="NR**","NR**",RANK(trust_indicator_data!AJ22,AJ:AJ,1)+COUNTIF($AJ$2:AJ22,AJ22)-1)</f>
        <v>76</v>
      </c>
      <c r="AM22" s="34" cm="1">
        <f t="array" ref="AM22">IF(AQ22&lt;10,0,INDEX(trust_indicator_data!$A$2:$BE$127,(ROW()-ROW(trust_indicator_data!$A$1:$BE$1)),MATCH(selected_indic_name_unadj,trust_indicator_data!$A$1:$BE$1,0)))</f>
        <v>50.931678771972656</v>
      </c>
      <c r="AN22" s="34">
        <f t="shared" si="11"/>
        <v>76</v>
      </c>
      <c r="AP22" s="34">
        <f>RANK(trust_indicator_data!$AQ22,AQ:AQ,1)+COUNTIF($AQ$2:AQ22,AQ22)-1</f>
        <v>46</v>
      </c>
      <c r="AQ22" s="34" cm="1">
        <f t="array" ref="AQ22">INDEX(trust_indicator_data!$A$2:$BE$127,(ROW()-ROW(trust_indicator_data!$A$1:$BE$1)),MATCH(selected_indic_denom,trust_indicator_data!$A$1:$BE$1,0))</f>
        <v>211</v>
      </c>
      <c r="AR22" s="34" cm="1">
        <f t="array" ref="AR22">INDEX(trust_indicator_data!$A$2:$BE$127,(ROW()-ROW(trust_indicator_data!$A$1:$BE$1)),MATCH(selected_indic_name_unadj,trust_indicator_data!$A$1:$BE$1,0))/100</f>
        <v>0.50931678771972655</v>
      </c>
      <c r="AS22" s="34">
        <f>IF(AQ22&lt;10,NA(),trust_indicator_data!$AR22)</f>
        <v>0.50931678771972655</v>
      </c>
      <c r="AU22" s="34">
        <f>INDEX(table_national_indic,MATCH($AU$1,national_indicator_data!$A$1:$A$17,0),MATCH(selected_indic_name_unadj,national_indicator_data!$A$1:$R$1,0))</f>
        <v>0.47675243377685544</v>
      </c>
      <c r="AV22" s="34">
        <f>INDEX(table_national_indic,MATCH($AV$1,national_indicator_data!$A$1:$A$7,0),MATCH(selected_indic_name_unadj,national_indicator_data!$A$1:$R$1,0))</f>
        <v>0.76214221292766271</v>
      </c>
      <c r="AW22" s="34">
        <f t="shared" si="0"/>
        <v>0.69329937384551132</v>
      </c>
      <c r="AX22" s="34">
        <f t="shared" si="1"/>
        <v>0.8309850520098141</v>
      </c>
      <c r="AY22" s="34">
        <f t="shared" si="2"/>
        <v>0.65887795430443563</v>
      </c>
      <c r="AZ22" s="34">
        <f t="shared" si="3"/>
        <v>0.86540647155088979</v>
      </c>
      <c r="BA22" s="34">
        <f>INDEX(table_national_indic,MATCH($BA$1,national_indicator_data!$A$1:$A$7,0),MATCH(selected_indic_name_unadj,national_indicator_data!$A$1:$R$1,0))</f>
        <v>0</v>
      </c>
      <c r="BB22" s="34">
        <f t="shared" si="4"/>
        <v>0.40842112709703116</v>
      </c>
      <c r="BC22" s="34">
        <f t="shared" si="12"/>
        <v>0.54552375682463972</v>
      </c>
      <c r="BD22" s="34">
        <f t="shared" si="13"/>
        <v>0.37482564492721754</v>
      </c>
      <c r="BE22" s="34">
        <f t="shared" si="14"/>
        <v>0.57966730533187749</v>
      </c>
      <c r="BG22">
        <f t="shared" si="15"/>
        <v>21</v>
      </c>
      <c r="BH22">
        <f t="shared" si="5"/>
        <v>132</v>
      </c>
      <c r="BI22" s="42">
        <f t="shared" si="16"/>
        <v>0.62962963104248049</v>
      </c>
      <c r="BJ22" s="42">
        <f t="shared" si="17"/>
        <v>0.39059753390398311</v>
      </c>
      <c r="BK22" s="42">
        <f t="shared" si="18"/>
        <v>0.5636100281804769</v>
      </c>
      <c r="BL22" s="42">
        <f t="shared" si="19"/>
        <v>0.34860039402456805</v>
      </c>
      <c r="BM22" s="42">
        <f t="shared" si="20"/>
        <v>0.60648054927558448</v>
      </c>
      <c r="BN22" s="42">
        <f t="shared" si="21"/>
        <v>0.47675243377685544</v>
      </c>
    </row>
    <row r="23" spans="1:66" x14ac:dyDescent="0.25">
      <c r="A23" t="s">
        <v>196</v>
      </c>
      <c r="B23" t="s">
        <v>195</v>
      </c>
      <c r="C23" t="s">
        <v>18</v>
      </c>
      <c r="D23" t="s">
        <v>16</v>
      </c>
      <c r="E23" s="2">
        <v>113</v>
      </c>
      <c r="F23" s="2">
        <v>98</v>
      </c>
      <c r="G23" s="2">
        <v>13</v>
      </c>
      <c r="H23" s="2">
        <v>19</v>
      </c>
      <c r="I23" s="2">
        <v>23</v>
      </c>
      <c r="J23" s="2">
        <v>18</v>
      </c>
      <c r="K23" s="2">
        <v>12</v>
      </c>
      <c r="L23" s="2">
        <v>47.272727966308594</v>
      </c>
      <c r="M23" s="46" t="str">
        <f t="shared" si="6"/>
        <v>NRA*</v>
      </c>
      <c r="N23" s="2">
        <v>50</v>
      </c>
      <c r="O23" s="46" t="str">
        <f t="shared" si="7"/>
        <v>NRA*</v>
      </c>
      <c r="P23" s="2">
        <v>84.210525512695313</v>
      </c>
      <c r="Q23" s="46" t="str">
        <f t="shared" si="8"/>
        <v>NRA*</v>
      </c>
      <c r="R23" s="2">
        <v>18.367347717285156</v>
      </c>
      <c r="S23" s="2">
        <v>17.123945236206055</v>
      </c>
      <c r="T23" s="2">
        <v>84.615386962890625</v>
      </c>
      <c r="U23" s="4">
        <v>85.848159790039063</v>
      </c>
      <c r="V23" s="2">
        <v>91.304344177246094</v>
      </c>
      <c r="W23" s="2">
        <v>89.898139953613281</v>
      </c>
      <c r="X23" s="2">
        <v>83.333335876464844</v>
      </c>
      <c r="Y23" s="2">
        <v>72.992958068847656</v>
      </c>
      <c r="Z23" s="2">
        <v>66.666664123535156</v>
      </c>
      <c r="AA23" s="2">
        <v>57.516223907470703</v>
      </c>
      <c r="AB23" s="2">
        <v>100</v>
      </c>
      <c r="AC23" s="46" t="str">
        <f t="shared" si="9"/>
        <v>NRA*</v>
      </c>
      <c r="AD23" s="2">
        <v>45.132743835449219</v>
      </c>
      <c r="AE23" s="2">
        <v>41.819034576416016</v>
      </c>
      <c r="AF23" s="2"/>
      <c r="AG23" s="4">
        <f t="shared" si="10"/>
        <v>113</v>
      </c>
      <c r="AH23" s="4" t="str" cm="1">
        <f t="array" ref="AH23">IF(AG23="NR**","NR**",INDEX(trust_indicator_data!$A$2:$BE$127,(ROW()-ROW(trust_indicator_data!$A$1:$BE$1)),MATCH(selected_indic_name_adj,trust_indicator_data!$A$1:$BE$1,0)))</f>
        <v>NRA*</v>
      </c>
      <c r="AI23" s="4" t="str">
        <f>IF(AG23="NR**","NR**",IF(AH23="NRA*","NRA*",RANK(AH23,AH:AH,1)+COUNTIF($AH$2:AH23,AH23)-1))</f>
        <v>NRA*</v>
      </c>
      <c r="AJ23" s="4" cm="1">
        <f t="array" ref="AJ23">IF(AG23="NR**","NR**",INDEX(trust_indicator_data!$A$2:$BE$127,(ROW()-ROW(trust_indicator_data!$A$1:$BE$1)),MATCH(selected_indic_name_unadj,trust_indicator_data!$A$1:$BE$1,0)))</f>
        <v>47.272727966308594</v>
      </c>
      <c r="AK23" s="4">
        <f>IF(AG23="NR**","NR**",RANK(trust_indicator_data!AJ23,AJ:AJ,1)+COUNTIF($AJ$2:AJ23,AJ23)-1)</f>
        <v>49</v>
      </c>
      <c r="AM23" s="4" cm="1">
        <f t="array" ref="AM23">IF(AQ23&lt;10,0,INDEX(trust_indicator_data!$A$2:$BE$127,(ROW()-ROW(trust_indicator_data!$A$1:$BE$1)),MATCH(selected_indic_name_unadj,trust_indicator_data!$A$1:$BE$1,0)))</f>
        <v>47.272727966308594</v>
      </c>
      <c r="AN23" s="4">
        <f t="shared" si="11"/>
        <v>49</v>
      </c>
      <c r="AP23" s="4">
        <f>RANK(trust_indicator_data!$AQ23,AQ:AQ,1)+COUNTIF($AQ$2:AQ23,AQ23)-1</f>
        <v>12</v>
      </c>
      <c r="AQ23" s="4" cm="1">
        <f t="array" ref="AQ23">INDEX(trust_indicator_data!$A$2:$BE$127,(ROW()-ROW(trust_indicator_data!$A$1:$BE$1)),MATCH(selected_indic_denom,trust_indicator_data!$A$1:$BE$1,0))</f>
        <v>113</v>
      </c>
      <c r="AR23" s="4" cm="1">
        <f t="array" ref="AR23">INDEX(trust_indicator_data!$A$2:$BE$127,(ROW()-ROW(trust_indicator_data!$A$1:$BE$1)),MATCH(selected_indic_name_unadj,trust_indicator_data!$A$1:$BE$1,0))/100</f>
        <v>0.47272727966308592</v>
      </c>
      <c r="AS23" s="4">
        <f>IF(AQ23&lt;10,NA(),trust_indicator_data!$AR23)</f>
        <v>0.47272727966308592</v>
      </c>
      <c r="AU23" s="4">
        <f>INDEX(table_national_indic,MATCH($AU$1,national_indicator_data!$A$1:$A$17,0),MATCH(selected_indic_name_unadj,national_indicator_data!$A$1:$R$1,0))</f>
        <v>0.47675243377685544</v>
      </c>
      <c r="AV23" s="4">
        <f>INDEX(table_national_indic,MATCH($AV$1,national_indicator_data!$A$1:$A$7,0),MATCH(selected_indic_name_unadj,national_indicator_data!$A$1:$R$1,0))</f>
        <v>0.76214221292766271</v>
      </c>
      <c r="AW23" s="4">
        <f t="shared" si="0"/>
        <v>0.66807012608930294</v>
      </c>
      <c r="AX23" s="4">
        <f t="shared" si="1"/>
        <v>0.85621429976602248</v>
      </c>
      <c r="AY23" s="4">
        <f t="shared" si="2"/>
        <v>0.62103408267012306</v>
      </c>
      <c r="AZ23" s="4">
        <f t="shared" si="3"/>
        <v>0.90325034318520236</v>
      </c>
      <c r="BA23" s="4">
        <f>INDEX(table_national_indic,MATCH($BA$1,national_indicator_data!$A$1:$A$7,0),MATCH(selected_indic_name_unadj,national_indicator_data!$A$1:$R$1,0))</f>
        <v>0</v>
      </c>
      <c r="BB23" s="4">
        <f t="shared" si="4"/>
        <v>0.38374575030993635</v>
      </c>
      <c r="BC23" s="4">
        <f t="shared" si="12"/>
        <v>0.57057961530385193</v>
      </c>
      <c r="BD23" s="4">
        <f t="shared" si="13"/>
        <v>0.33858022324021037</v>
      </c>
      <c r="BE23" s="4">
        <f t="shared" si="14"/>
        <v>0.6167639637425516</v>
      </c>
      <c r="BG23">
        <f t="shared" si="15"/>
        <v>22</v>
      </c>
      <c r="BH23">
        <f t="shared" si="5"/>
        <v>134</v>
      </c>
      <c r="BI23" s="42">
        <f t="shared" si="16"/>
        <v>0.57798164367675786</v>
      </c>
      <c r="BJ23" s="42">
        <f t="shared" si="17"/>
        <v>0.39123381364825144</v>
      </c>
      <c r="BK23" s="42">
        <f t="shared" si="18"/>
        <v>0.56296328656121497</v>
      </c>
      <c r="BL23" s="42">
        <f t="shared" si="19"/>
        <v>0.34953274937256262</v>
      </c>
      <c r="BM23" s="42">
        <f t="shared" si="20"/>
        <v>0.60552480222480476</v>
      </c>
      <c r="BN23" s="42">
        <f t="shared" si="21"/>
        <v>0.47675243377685544</v>
      </c>
    </row>
    <row r="24" spans="1:66" x14ac:dyDescent="0.25">
      <c r="A24" t="s">
        <v>284</v>
      </c>
      <c r="B24" t="s">
        <v>283</v>
      </c>
      <c r="C24" t="s">
        <v>36</v>
      </c>
      <c r="D24" t="s">
        <v>34</v>
      </c>
      <c r="E24" s="2">
        <v>475</v>
      </c>
      <c r="F24" s="2">
        <v>440</v>
      </c>
      <c r="G24" s="2">
        <v>33</v>
      </c>
      <c r="H24" s="2">
        <v>55</v>
      </c>
      <c r="I24" s="2">
        <v>64</v>
      </c>
      <c r="J24" s="2">
        <v>87</v>
      </c>
      <c r="K24" s="2">
        <v>38</v>
      </c>
      <c r="L24" s="2">
        <v>49.736843109130859</v>
      </c>
      <c r="M24" s="46" t="str">
        <f t="shared" si="6"/>
        <v>NRA*</v>
      </c>
      <c r="N24" s="2">
        <v>51.980197906494141</v>
      </c>
      <c r="O24" s="46" t="str">
        <f t="shared" si="7"/>
        <v>NRA*</v>
      </c>
      <c r="P24" s="2">
        <v>96.363639831542969</v>
      </c>
      <c r="Q24" s="46" t="str">
        <f t="shared" si="8"/>
        <v>NRA*</v>
      </c>
      <c r="R24" s="2">
        <v>15</v>
      </c>
      <c r="S24" s="2">
        <v>17.187076568603516</v>
      </c>
      <c r="T24" s="2">
        <v>45.454544067382813</v>
      </c>
      <c r="U24" s="4">
        <v>45.935791015625</v>
      </c>
      <c r="V24" s="2">
        <v>78.125</v>
      </c>
      <c r="W24" s="2">
        <v>76.457923889160156</v>
      </c>
      <c r="X24" s="2">
        <v>55.263156890869141</v>
      </c>
      <c r="Y24" s="2">
        <v>55.165821075439453</v>
      </c>
      <c r="Z24" s="2">
        <v>45.977012634277344</v>
      </c>
      <c r="AA24" s="2">
        <v>48.227870941162109</v>
      </c>
      <c r="AB24" s="2">
        <v>98.550727844238281</v>
      </c>
      <c r="AC24" s="46" t="str">
        <f t="shared" si="9"/>
        <v>NRA*</v>
      </c>
      <c r="AD24" s="2">
        <v>36.965812683105469</v>
      </c>
      <c r="AE24" s="2">
        <v>36.870121002197266</v>
      </c>
      <c r="AF24" s="2"/>
      <c r="AG24" s="34">
        <f t="shared" si="10"/>
        <v>475</v>
      </c>
      <c r="AH24" s="34" t="str" cm="1">
        <f t="array" ref="AH24">IF(AG24="NR**","NR**",INDEX(trust_indicator_data!$A$2:$BE$127,(ROW()-ROW(trust_indicator_data!$A$1:$BE$1)),MATCH(selected_indic_name_adj,trust_indicator_data!$A$1:$BE$1,0)))</f>
        <v>NRA*</v>
      </c>
      <c r="AI24" s="34" t="str">
        <f>IF(AG24="NR**","NR**",IF(AH24="NRA*","NRA*",RANK(AH24,AH:AH,1)+COUNTIF($AH$2:AH24,AH24)-1))</f>
        <v>NRA*</v>
      </c>
      <c r="AJ24" s="34" cm="1">
        <f t="array" ref="AJ24">IF(AG24="NR**","NR**",INDEX(trust_indicator_data!$A$2:$BE$127,(ROW()-ROW(trust_indicator_data!$A$1:$BE$1)),MATCH(selected_indic_name_unadj,trust_indicator_data!$A$1:$BE$1,0)))</f>
        <v>49.736843109130859</v>
      </c>
      <c r="AK24" s="34">
        <f>IF(AG24="NR**","NR**",RANK(trust_indicator_data!AJ24,AJ:AJ,1)+COUNTIF($AJ$2:AJ24,AJ24)-1)</f>
        <v>68</v>
      </c>
      <c r="AM24" s="34" cm="1">
        <f t="array" ref="AM24">IF(AQ24&lt;10,0,INDEX(trust_indicator_data!$A$2:$BE$127,(ROW()-ROW(trust_indicator_data!$A$1:$BE$1)),MATCH(selected_indic_name_unadj,trust_indicator_data!$A$1:$BE$1,0)))</f>
        <v>49.736843109130859</v>
      </c>
      <c r="AN24" s="34">
        <f t="shared" si="11"/>
        <v>68</v>
      </c>
      <c r="AP24" s="34">
        <f>RANK(trust_indicator_data!$AQ24,AQ:AQ,1)+COUNTIF($AQ$2:AQ24,AQ24)-1</f>
        <v>117</v>
      </c>
      <c r="AQ24" s="34" cm="1">
        <f t="array" ref="AQ24">INDEX(trust_indicator_data!$A$2:$BE$127,(ROW()-ROW(trust_indicator_data!$A$1:$BE$1)),MATCH(selected_indic_denom,trust_indicator_data!$A$1:$BE$1,0))</f>
        <v>475</v>
      </c>
      <c r="AR24" s="34" cm="1">
        <f t="array" ref="AR24">INDEX(trust_indicator_data!$A$2:$BE$127,(ROW()-ROW(trust_indicator_data!$A$1:$BE$1)),MATCH(selected_indic_name_unadj,trust_indicator_data!$A$1:$BE$1,0))/100</f>
        <v>0.49736843109130857</v>
      </c>
      <c r="AS24" s="34">
        <f>IF(AQ24&lt;10,NA(),trust_indicator_data!$AR24)</f>
        <v>0.49736843109130857</v>
      </c>
      <c r="AU24" s="34">
        <f>INDEX(table_national_indic,MATCH($AU$1,national_indicator_data!$A$1:$A$17,0),MATCH(selected_indic_name_unadj,national_indicator_data!$A$1:$R$1,0))</f>
        <v>0.47675243377685544</v>
      </c>
      <c r="AV24" s="34">
        <f>INDEX(table_national_indic,MATCH($AV$1,national_indicator_data!$A$1:$A$7,0),MATCH(selected_indic_name_unadj,national_indicator_data!$A$1:$R$1,0))</f>
        <v>0.76214221292766271</v>
      </c>
      <c r="AW24" s="34">
        <f t="shared" si="0"/>
        <v>0.71625906615355039</v>
      </c>
      <c r="AX24" s="34">
        <f t="shared" si="1"/>
        <v>0.80802535970177503</v>
      </c>
      <c r="AY24" s="34">
        <f t="shared" si="2"/>
        <v>0.69331749276649424</v>
      </c>
      <c r="AZ24" s="34">
        <f t="shared" si="3"/>
        <v>0.83096693308883118</v>
      </c>
      <c r="BA24" s="34">
        <f>INDEX(table_national_indic,MATCH($BA$1,national_indicator_data!$A$1:$A$7,0),MATCH(selected_indic_name_unadj,national_indicator_data!$A$1:$R$1,0))</f>
        <v>0</v>
      </c>
      <c r="BB24" s="34">
        <f t="shared" si="4"/>
        <v>0.43108102535979537</v>
      </c>
      <c r="BC24" s="34">
        <f t="shared" si="12"/>
        <v>0.52261947382945451</v>
      </c>
      <c r="BD24" s="34">
        <f t="shared" si="13"/>
        <v>0.40843893957007832</v>
      </c>
      <c r="BE24" s="34">
        <f t="shared" si="14"/>
        <v>0.54550571312981067</v>
      </c>
      <c r="BG24">
        <f t="shared" si="15"/>
        <v>23</v>
      </c>
      <c r="BH24">
        <f t="shared" si="5"/>
        <v>135</v>
      </c>
      <c r="BI24" s="42">
        <f t="shared" si="16"/>
        <v>0.79381446838378911</v>
      </c>
      <c r="BJ24" s="42">
        <f t="shared" si="17"/>
        <v>0.39154670587363516</v>
      </c>
      <c r="BK24" s="42">
        <f t="shared" si="18"/>
        <v>0.56264527935378861</v>
      </c>
      <c r="BL24" s="42">
        <f t="shared" si="19"/>
        <v>0.34999134938378607</v>
      </c>
      <c r="BM24" s="42">
        <f t="shared" si="20"/>
        <v>0.60505476481945997</v>
      </c>
      <c r="BN24" s="42">
        <f t="shared" si="21"/>
        <v>0.47675243377685544</v>
      </c>
    </row>
    <row r="25" spans="1:66" x14ac:dyDescent="0.25">
      <c r="A25" t="s">
        <v>326</v>
      </c>
      <c r="B25" t="s">
        <v>325</v>
      </c>
      <c r="C25" t="s">
        <v>39</v>
      </c>
      <c r="D25" t="s">
        <v>37</v>
      </c>
      <c r="E25" s="2">
        <v>326</v>
      </c>
      <c r="F25" s="2">
        <v>302</v>
      </c>
      <c r="G25" s="2">
        <v>22</v>
      </c>
      <c r="H25" s="2">
        <v>37</v>
      </c>
      <c r="I25" s="2">
        <v>48</v>
      </c>
      <c r="J25" s="2">
        <v>84</v>
      </c>
      <c r="K25" s="2">
        <v>27</v>
      </c>
      <c r="L25" s="2">
        <v>49.523811340332031</v>
      </c>
      <c r="M25" s="46" t="str">
        <f t="shared" si="6"/>
        <v>NRA*</v>
      </c>
      <c r="N25" s="2">
        <v>53.311256408691406</v>
      </c>
      <c r="O25" s="46" t="str">
        <f t="shared" si="7"/>
        <v>NRA*</v>
      </c>
      <c r="P25" s="2">
        <v>62.162162780761719</v>
      </c>
      <c r="Q25" s="46" t="str">
        <f t="shared" si="8"/>
        <v>NRA*</v>
      </c>
      <c r="R25" s="2">
        <v>8.2781457901000977</v>
      </c>
      <c r="S25" s="2">
        <v>12.966510772705078</v>
      </c>
      <c r="T25" s="2">
        <v>68.181816101074219</v>
      </c>
      <c r="U25" s="4">
        <v>75.255508422851563</v>
      </c>
      <c r="V25" s="2">
        <v>52.083332061767578</v>
      </c>
      <c r="W25" s="2">
        <v>60.312690734863281</v>
      </c>
      <c r="X25" s="2">
        <v>40.740741729736328</v>
      </c>
      <c r="Y25" s="2">
        <v>37.227207183837891</v>
      </c>
      <c r="Z25" s="2">
        <v>60.714286804199219</v>
      </c>
      <c r="AA25" s="2">
        <v>61.718948364257813</v>
      </c>
      <c r="AB25" s="2">
        <v>92.488265991210938</v>
      </c>
      <c r="AC25" s="46" t="str">
        <f t="shared" si="9"/>
        <v>NRA*</v>
      </c>
      <c r="AD25" s="2">
        <v>32.8125</v>
      </c>
      <c r="AE25" s="2">
        <v>27.466102600097656</v>
      </c>
      <c r="AF25" s="2"/>
      <c r="AG25" s="4">
        <f t="shared" si="10"/>
        <v>326</v>
      </c>
      <c r="AH25" s="4" t="str" cm="1">
        <f t="array" ref="AH25">IF(AG25="NR**","NR**",INDEX(trust_indicator_data!$A$2:$BE$127,(ROW()-ROW(trust_indicator_data!$A$1:$BE$1)),MATCH(selected_indic_name_adj,trust_indicator_data!$A$1:$BE$1,0)))</f>
        <v>NRA*</v>
      </c>
      <c r="AI25" s="4" t="str">
        <f>IF(AG25="NR**","NR**",IF(AH25="NRA*","NRA*",RANK(AH25,AH:AH,1)+COUNTIF($AH$2:AH25,AH25)-1))</f>
        <v>NRA*</v>
      </c>
      <c r="AJ25" s="4" cm="1">
        <f t="array" ref="AJ25">IF(AG25="NR**","NR**",INDEX(trust_indicator_data!$A$2:$BE$127,(ROW()-ROW(trust_indicator_data!$A$1:$BE$1)),MATCH(selected_indic_name_unadj,trust_indicator_data!$A$1:$BE$1,0)))</f>
        <v>49.523811340332031</v>
      </c>
      <c r="AK25" s="4">
        <f>IF(AG25="NR**","NR**",RANK(trust_indicator_data!AJ25,AJ:AJ,1)+COUNTIF($AJ$2:AJ25,AJ25)-1)</f>
        <v>64</v>
      </c>
      <c r="AM25" s="4" cm="1">
        <f t="array" ref="AM25">IF(AQ25&lt;10,0,INDEX(trust_indicator_data!$A$2:$BE$127,(ROW()-ROW(trust_indicator_data!$A$1:$BE$1)),MATCH(selected_indic_name_unadj,trust_indicator_data!$A$1:$BE$1,0)))</f>
        <v>49.523811340332031</v>
      </c>
      <c r="AN25" s="4">
        <f t="shared" si="11"/>
        <v>64</v>
      </c>
      <c r="AP25" s="4">
        <f>RANK(trust_indicator_data!$AQ25,AQ:AQ,1)+COUNTIF($AQ$2:AQ25,AQ25)-1</f>
        <v>88</v>
      </c>
      <c r="AQ25" s="4" cm="1">
        <f t="array" ref="AQ25">INDEX(trust_indicator_data!$A$2:$BE$127,(ROW()-ROW(trust_indicator_data!$A$1:$BE$1)),MATCH(selected_indic_denom,trust_indicator_data!$A$1:$BE$1,0))</f>
        <v>326</v>
      </c>
      <c r="AR25" s="4" cm="1">
        <f t="array" ref="AR25">INDEX(trust_indicator_data!$A$2:$BE$127,(ROW()-ROW(trust_indicator_data!$A$1:$BE$1)),MATCH(selected_indic_name_unadj,trust_indicator_data!$A$1:$BE$1,0))/100</f>
        <v>0.4952381134033203</v>
      </c>
      <c r="AS25" s="4">
        <f>IF(AQ25&lt;10,NA(),trust_indicator_data!$AR25)</f>
        <v>0.4952381134033203</v>
      </c>
      <c r="AU25" s="4">
        <f>INDEX(table_national_indic,MATCH($AU$1,national_indicator_data!$A$1:$A$17,0),MATCH(selected_indic_name_unadj,national_indicator_data!$A$1:$R$1,0))</f>
        <v>0.47675243377685544</v>
      </c>
      <c r="AV25" s="4">
        <f>INDEX(table_national_indic,MATCH($AV$1,national_indicator_data!$A$1:$A$7,0),MATCH(selected_indic_name_unadj,national_indicator_data!$A$1:$R$1,0))</f>
        <v>0.76214221292766271</v>
      </c>
      <c r="AW25" s="4">
        <f t="shared" si="0"/>
        <v>0.70675733536549157</v>
      </c>
      <c r="AX25" s="4">
        <f t="shared" si="1"/>
        <v>0.81752709048983385</v>
      </c>
      <c r="AY25" s="4">
        <f t="shared" si="2"/>
        <v>0.67906489658440605</v>
      </c>
      <c r="AZ25" s="4">
        <f t="shared" si="3"/>
        <v>0.84521952927091937</v>
      </c>
      <c r="BA25" s="4">
        <f>INDEX(table_national_indic,MATCH($BA$1,national_indicator_data!$A$1:$A$7,0),MATCH(selected_indic_name_unadj,national_indicator_data!$A$1:$R$1,0))</f>
        <v>0</v>
      </c>
      <c r="BB25" s="4">
        <f t="shared" si="4"/>
        <v>0.42168300100605915</v>
      </c>
      <c r="BC25" s="4">
        <f t="shared" si="12"/>
        <v>0.53210682121544906</v>
      </c>
      <c r="BD25" s="4">
        <f t="shared" si="13"/>
        <v>0.39446644601969827</v>
      </c>
      <c r="BE25" s="4">
        <f t="shared" si="14"/>
        <v>0.5596787503247217</v>
      </c>
      <c r="BG25">
        <f t="shared" si="15"/>
        <v>24</v>
      </c>
      <c r="BH25">
        <f t="shared" si="5"/>
        <v>136</v>
      </c>
      <c r="BI25" s="42">
        <f t="shared" si="16"/>
        <v>0.58715595245361329</v>
      </c>
      <c r="BJ25" s="42">
        <f t="shared" si="17"/>
        <v>0.39185618454527699</v>
      </c>
      <c r="BK25" s="42">
        <f t="shared" si="18"/>
        <v>0.56233076073569621</v>
      </c>
      <c r="BL25" s="42">
        <f t="shared" si="19"/>
        <v>0.35044501839364511</v>
      </c>
      <c r="BM25" s="42">
        <f t="shared" si="20"/>
        <v>0.60458982568070774</v>
      </c>
      <c r="BN25" s="42">
        <f t="shared" si="21"/>
        <v>0.47675243377685544</v>
      </c>
    </row>
    <row r="26" spans="1:66" x14ac:dyDescent="0.25">
      <c r="A26" t="s">
        <v>142</v>
      </c>
      <c r="B26" t="s">
        <v>141</v>
      </c>
      <c r="C26" t="s">
        <v>24</v>
      </c>
      <c r="D26" t="s">
        <v>22</v>
      </c>
      <c r="E26" s="2">
        <v>422</v>
      </c>
      <c r="F26" s="2">
        <v>382</v>
      </c>
      <c r="G26" s="2">
        <v>31</v>
      </c>
      <c r="H26" s="2">
        <v>36</v>
      </c>
      <c r="I26" s="2">
        <v>45</v>
      </c>
      <c r="J26" s="2">
        <v>95</v>
      </c>
      <c r="K26" s="2">
        <v>30</v>
      </c>
      <c r="L26" s="2">
        <v>55.681819915771484</v>
      </c>
      <c r="M26" s="46" t="str">
        <f t="shared" si="6"/>
        <v>NRA*</v>
      </c>
      <c r="N26" s="2">
        <v>49.470897674560547</v>
      </c>
      <c r="O26" s="46" t="str">
        <f t="shared" si="7"/>
        <v>NRA*</v>
      </c>
      <c r="P26" s="2">
        <v>72.222221374511719</v>
      </c>
      <c r="Q26" s="46" t="str">
        <f t="shared" si="8"/>
        <v>NRA*</v>
      </c>
      <c r="R26" s="2">
        <v>7.3298430442810059</v>
      </c>
      <c r="S26" s="2">
        <v>13.001896858215332</v>
      </c>
      <c r="T26" s="2">
        <v>70.967742919921875</v>
      </c>
      <c r="U26" s="4">
        <v>72.82000732421875</v>
      </c>
      <c r="V26" s="2">
        <v>64.444442749023438</v>
      </c>
      <c r="W26" s="2">
        <v>71.037200927734375</v>
      </c>
      <c r="X26" s="2">
        <v>36.666667938232422</v>
      </c>
      <c r="Y26" s="2">
        <v>38.614238739013672</v>
      </c>
      <c r="Z26" s="2">
        <v>55.789474487304688</v>
      </c>
      <c r="AA26" s="2">
        <v>58.345462799072266</v>
      </c>
      <c r="AB26" s="2">
        <v>90.128753662109375</v>
      </c>
      <c r="AC26" s="46" t="str">
        <f t="shared" si="9"/>
        <v>NRA*</v>
      </c>
      <c r="AD26" s="2">
        <v>38.369304656982422</v>
      </c>
      <c r="AE26" s="2">
        <v>34.374645233154297</v>
      </c>
      <c r="AF26" s="2"/>
      <c r="AG26" s="34">
        <f t="shared" si="10"/>
        <v>422</v>
      </c>
      <c r="AH26" s="34" t="str" cm="1">
        <f t="array" ref="AH26">IF(AG26="NR**","NR**",INDEX(trust_indicator_data!$A$2:$BE$127,(ROW()-ROW(trust_indicator_data!$A$1:$BE$1)),MATCH(selected_indic_name_adj,trust_indicator_data!$A$1:$BE$1,0)))</f>
        <v>NRA*</v>
      </c>
      <c r="AI26" s="34" t="str">
        <f>IF(AG26="NR**","NR**",IF(AH26="NRA*","NRA*",RANK(AH26,AH:AH,1)+COUNTIF($AH$2:AH26,AH26)-1))</f>
        <v>NRA*</v>
      </c>
      <c r="AJ26" s="34" cm="1">
        <f t="array" ref="AJ26">IF(AG26="NR**","NR**",INDEX(trust_indicator_data!$A$2:$BE$127,(ROW()-ROW(trust_indicator_data!$A$1:$BE$1)),MATCH(selected_indic_name_unadj,trust_indicator_data!$A$1:$BE$1,0)))</f>
        <v>55.681819915771484</v>
      </c>
      <c r="AK26" s="34">
        <f>IF(AG26="NR**","NR**",RANK(trust_indicator_data!AJ26,AJ:AJ,1)+COUNTIF($AJ$2:AJ26,AJ26)-1)</f>
        <v>107</v>
      </c>
      <c r="AM26" s="34" cm="1">
        <f t="array" ref="AM26">IF(AQ26&lt;10,0,INDEX(trust_indicator_data!$A$2:$BE$127,(ROW()-ROW(trust_indicator_data!$A$1:$BE$1)),MATCH(selected_indic_name_unadj,trust_indicator_data!$A$1:$BE$1,0)))</f>
        <v>55.681819915771484</v>
      </c>
      <c r="AN26" s="34">
        <f t="shared" si="11"/>
        <v>107</v>
      </c>
      <c r="AP26" s="34">
        <f>RANK(trust_indicator_data!$AQ26,AQ:AQ,1)+COUNTIF($AQ$2:AQ26,AQ26)-1</f>
        <v>110</v>
      </c>
      <c r="AQ26" s="34" cm="1">
        <f t="array" ref="AQ26">INDEX(trust_indicator_data!$A$2:$BE$127,(ROW()-ROW(trust_indicator_data!$A$1:$BE$1)),MATCH(selected_indic_denom,trust_indicator_data!$A$1:$BE$1,0))</f>
        <v>422</v>
      </c>
      <c r="AR26" s="34" cm="1">
        <f t="array" ref="AR26">INDEX(trust_indicator_data!$A$2:$BE$127,(ROW()-ROW(trust_indicator_data!$A$1:$BE$1)),MATCH(selected_indic_name_unadj,trust_indicator_data!$A$1:$BE$1,0))/100</f>
        <v>0.5568181991577148</v>
      </c>
      <c r="AS26" s="34">
        <f>IF(AQ26&lt;10,NA(),trust_indicator_data!$AR26)</f>
        <v>0.5568181991577148</v>
      </c>
      <c r="AU26" s="34">
        <f>INDEX(table_national_indic,MATCH($AU$1,national_indicator_data!$A$1:$A$17,0),MATCH(selected_indic_name_unadj,national_indicator_data!$A$1:$R$1,0))</f>
        <v>0.47675243377685544</v>
      </c>
      <c r="AV26" s="34">
        <f>INDEX(table_national_indic,MATCH($AV$1,national_indicator_data!$A$1:$A$7,0),MATCH(selected_indic_name_unadj,national_indicator_data!$A$1:$R$1,0))</f>
        <v>0.76214221292766271</v>
      </c>
      <c r="AW26" s="34">
        <f t="shared" si="0"/>
        <v>0.71346297457653918</v>
      </c>
      <c r="AX26" s="34">
        <f t="shared" si="1"/>
        <v>0.81082145127878624</v>
      </c>
      <c r="AY26" s="34">
        <f t="shared" si="2"/>
        <v>0.68912335540097736</v>
      </c>
      <c r="AZ26" s="34">
        <f t="shared" si="3"/>
        <v>0.83516107045434806</v>
      </c>
      <c r="BA26" s="34">
        <f>INDEX(table_national_indic,MATCH($BA$1,national_indicator_data!$A$1:$A$7,0),MATCH(selected_indic_name_unadj,national_indicator_data!$A$1:$R$1,0))</f>
        <v>0</v>
      </c>
      <c r="BB26" s="34">
        <f t="shared" si="4"/>
        <v>0.42831271511805574</v>
      </c>
      <c r="BC26" s="34">
        <f t="shared" si="12"/>
        <v>0.52541233451165092</v>
      </c>
      <c r="BD26" s="34">
        <f t="shared" si="13"/>
        <v>0.4043189939376704</v>
      </c>
      <c r="BE26" s="34">
        <f t="shared" si="14"/>
        <v>0.54968079425437</v>
      </c>
      <c r="BG26">
        <f t="shared" si="15"/>
        <v>25</v>
      </c>
      <c r="BH26">
        <f t="shared" si="5"/>
        <v>140</v>
      </c>
      <c r="BI26" s="42">
        <f t="shared" si="16"/>
        <v>0.58400001525878908</v>
      </c>
      <c r="BJ26" s="42">
        <f t="shared" si="17"/>
        <v>0.39306117368466365</v>
      </c>
      <c r="BK26" s="42">
        <f t="shared" si="18"/>
        <v>0.56110633008515209</v>
      </c>
      <c r="BL26" s="42">
        <f t="shared" si="19"/>
        <v>0.35221210744287129</v>
      </c>
      <c r="BM26" s="42">
        <f t="shared" si="20"/>
        <v>0.60277925747016914</v>
      </c>
      <c r="BN26" s="42">
        <f t="shared" si="21"/>
        <v>0.47675243377685544</v>
      </c>
    </row>
    <row r="27" spans="1:66" x14ac:dyDescent="0.25">
      <c r="A27" t="s">
        <v>312</v>
      </c>
      <c r="B27" t="s">
        <v>311</v>
      </c>
      <c r="C27" t="s">
        <v>63</v>
      </c>
      <c r="D27" t="s">
        <v>61</v>
      </c>
      <c r="E27" s="2">
        <v>236</v>
      </c>
      <c r="F27" s="2">
        <v>216</v>
      </c>
      <c r="G27" s="2">
        <v>17</v>
      </c>
      <c r="H27" s="2">
        <v>23</v>
      </c>
      <c r="I27" s="2">
        <v>28</v>
      </c>
      <c r="J27" s="2">
        <v>35</v>
      </c>
      <c r="K27" s="2">
        <v>17</v>
      </c>
      <c r="L27" s="2">
        <v>54.871795654296875</v>
      </c>
      <c r="M27" s="46" t="str">
        <f t="shared" si="6"/>
        <v>NRA*</v>
      </c>
      <c r="N27" s="2">
        <v>50.326797485351563</v>
      </c>
      <c r="O27" s="46" t="str">
        <f t="shared" si="7"/>
        <v>NRA*</v>
      </c>
      <c r="P27" s="2">
        <v>86.956520080566406</v>
      </c>
      <c r="Q27" s="46" t="str">
        <f t="shared" si="8"/>
        <v>NRA*</v>
      </c>
      <c r="R27" s="2">
        <v>15.740740776062012</v>
      </c>
      <c r="S27" s="2">
        <v>21.606485366821289</v>
      </c>
      <c r="T27" s="2">
        <v>47.058822631835938</v>
      </c>
      <c r="U27" s="4">
        <v>51.369930267333984</v>
      </c>
      <c r="V27" s="2">
        <v>78.571426391601563</v>
      </c>
      <c r="W27" s="2">
        <v>82.274505615234375</v>
      </c>
      <c r="X27" s="2">
        <v>47.058822631835938</v>
      </c>
      <c r="Y27" s="2">
        <v>52.002063751220703</v>
      </c>
      <c r="Z27" s="2">
        <v>57.142856597900391</v>
      </c>
      <c r="AA27" s="2">
        <v>58.139122009277344</v>
      </c>
      <c r="AB27" s="2">
        <v>95.890411376953125</v>
      </c>
      <c r="AC27" s="46" t="str">
        <f t="shared" si="9"/>
        <v>NRA*</v>
      </c>
      <c r="AD27" s="2">
        <v>37.931034088134766</v>
      </c>
      <c r="AE27" s="2">
        <v>35.156909942626953</v>
      </c>
      <c r="AF27" s="2"/>
      <c r="AG27" s="4">
        <f t="shared" si="10"/>
        <v>236</v>
      </c>
      <c r="AH27" s="4" t="str" cm="1">
        <f t="array" ref="AH27">IF(AG27="NR**","NR**",INDEX(trust_indicator_data!$A$2:$BE$127,(ROW()-ROW(trust_indicator_data!$A$1:$BE$1)),MATCH(selected_indic_name_adj,trust_indicator_data!$A$1:$BE$1,0)))</f>
        <v>NRA*</v>
      </c>
      <c r="AI27" s="4" t="str">
        <f>IF(AG27="NR**","NR**",IF(AH27="NRA*","NRA*",RANK(AH27,AH:AH,1)+COUNTIF($AH$2:AH27,AH27)-1))</f>
        <v>NRA*</v>
      </c>
      <c r="AJ27" s="4" cm="1">
        <f t="array" ref="AJ27">IF(AG27="NR**","NR**",INDEX(trust_indicator_data!$A$2:$BE$127,(ROW()-ROW(trust_indicator_data!$A$1:$BE$1)),MATCH(selected_indic_name_unadj,trust_indicator_data!$A$1:$BE$1,0)))</f>
        <v>54.871795654296875</v>
      </c>
      <c r="AK27" s="4">
        <f>IF(AG27="NR**","NR**",RANK(trust_indicator_data!AJ27,AJ:AJ,1)+COUNTIF($AJ$2:AJ27,AJ27)-1)</f>
        <v>105</v>
      </c>
      <c r="AM27" s="4" cm="1">
        <f t="array" ref="AM27">IF(AQ27&lt;10,0,INDEX(trust_indicator_data!$A$2:$BE$127,(ROW()-ROW(trust_indicator_data!$A$1:$BE$1)),MATCH(selected_indic_name_unadj,trust_indicator_data!$A$1:$BE$1,0)))</f>
        <v>54.871795654296875</v>
      </c>
      <c r="AN27" s="4">
        <f t="shared" si="11"/>
        <v>105</v>
      </c>
      <c r="AP27" s="4">
        <f>RANK(trust_indicator_data!$AQ27,AQ:AQ,1)+COUNTIF($AQ$2:AQ27,AQ27)-1</f>
        <v>61</v>
      </c>
      <c r="AQ27" s="4" cm="1">
        <f t="array" ref="AQ27">INDEX(trust_indicator_data!$A$2:$BE$127,(ROW()-ROW(trust_indicator_data!$A$1:$BE$1)),MATCH(selected_indic_denom,trust_indicator_data!$A$1:$BE$1,0))</f>
        <v>236</v>
      </c>
      <c r="AR27" s="4" cm="1">
        <f t="array" ref="AR27">INDEX(trust_indicator_data!$A$2:$BE$127,(ROW()-ROW(trust_indicator_data!$A$1:$BE$1)),MATCH(selected_indic_name_unadj,trust_indicator_data!$A$1:$BE$1,0))/100</f>
        <v>0.54871795654296873</v>
      </c>
      <c r="AS27" s="4">
        <f>IF(AQ27&lt;10,NA(),trust_indicator_data!$AR27)</f>
        <v>0.54871795654296873</v>
      </c>
      <c r="AU27" s="4">
        <f>INDEX(table_national_indic,MATCH($AU$1,national_indicator_data!$A$1:$A$17,0),MATCH(selected_indic_name_unadj,national_indicator_data!$A$1:$R$1,0))</f>
        <v>0.47675243377685544</v>
      </c>
      <c r="AV27" s="4">
        <f>INDEX(table_national_indic,MATCH($AV$1,national_indicator_data!$A$1:$A$7,0),MATCH(selected_indic_name_unadj,national_indicator_data!$A$1:$R$1,0))</f>
        <v>0.76214221292766271</v>
      </c>
      <c r="AW27" s="4">
        <f t="shared" si="0"/>
        <v>0.69704775743725078</v>
      </c>
      <c r="AX27" s="4">
        <f t="shared" si="1"/>
        <v>0.82723666841807464</v>
      </c>
      <c r="AY27" s="4">
        <f t="shared" si="2"/>
        <v>0.66450052969204476</v>
      </c>
      <c r="AZ27" s="4">
        <f t="shared" si="3"/>
        <v>0.85978389616328066</v>
      </c>
      <c r="BA27" s="4">
        <f>INDEX(table_national_indic,MATCH($BA$1,national_indicator_data!$A$1:$A$7,0),MATCH(selected_indic_name_unadj,national_indicator_data!$A$1:$R$1,0))</f>
        <v>0</v>
      </c>
      <c r="BB27" s="4">
        <f t="shared" si="4"/>
        <v>0.41210864020237925</v>
      </c>
      <c r="BC27" s="4">
        <f t="shared" si="12"/>
        <v>0.54178969767714802</v>
      </c>
      <c r="BD27" s="4">
        <f t="shared" si="13"/>
        <v>0.38027697307717645</v>
      </c>
      <c r="BE27" s="4">
        <f t="shared" si="14"/>
        <v>0.57411164032769235</v>
      </c>
      <c r="BG27">
        <f t="shared" si="15"/>
        <v>26</v>
      </c>
      <c r="BH27">
        <f t="shared" si="5"/>
        <v>148</v>
      </c>
      <c r="BI27" s="42">
        <f t="shared" si="16"/>
        <v>0.48333332061767575</v>
      </c>
      <c r="BJ27" s="42">
        <f t="shared" si="17"/>
        <v>0.39532465494754709</v>
      </c>
      <c r="BK27" s="42">
        <f t="shared" si="18"/>
        <v>0.55880711136258576</v>
      </c>
      <c r="BL27" s="42">
        <f t="shared" si="19"/>
        <v>0.35553432925743367</v>
      </c>
      <c r="BM27" s="42">
        <f t="shared" si="20"/>
        <v>0.59937709211636936</v>
      </c>
      <c r="BN27" s="42">
        <f t="shared" si="21"/>
        <v>0.47675243377685544</v>
      </c>
    </row>
    <row r="28" spans="1:66" x14ac:dyDescent="0.25">
      <c r="A28" t="s">
        <v>282</v>
      </c>
      <c r="B28" t="s">
        <v>281</v>
      </c>
      <c r="C28" t="s">
        <v>512</v>
      </c>
      <c r="D28" t="s">
        <v>70</v>
      </c>
      <c r="E28" s="2">
        <v>197</v>
      </c>
      <c r="F28" s="2">
        <v>184</v>
      </c>
      <c r="G28" s="2">
        <v>12</v>
      </c>
      <c r="H28" s="2">
        <v>33</v>
      </c>
      <c r="I28" s="2">
        <v>34</v>
      </c>
      <c r="J28" s="2">
        <v>44</v>
      </c>
      <c r="K28" s="2">
        <v>10</v>
      </c>
      <c r="L28" s="2">
        <v>50.549449920654297</v>
      </c>
      <c r="M28" s="46" t="str">
        <f t="shared" si="6"/>
        <v>NRA*</v>
      </c>
      <c r="N28" s="2">
        <v>56.097560882568359</v>
      </c>
      <c r="O28" s="46" t="str">
        <f t="shared" si="7"/>
        <v>NRA*</v>
      </c>
      <c r="P28" s="2">
        <v>100</v>
      </c>
      <c r="Q28" s="46" t="str">
        <f t="shared" si="8"/>
        <v>NRA*</v>
      </c>
      <c r="R28" s="2">
        <v>14.67391300201416</v>
      </c>
      <c r="S28" s="2">
        <v>13.962069511413574</v>
      </c>
      <c r="T28" s="2">
        <v>58.333332061767578</v>
      </c>
      <c r="U28" s="4">
        <v>57.867008209228516</v>
      </c>
      <c r="V28" s="2">
        <v>88.23529052734375</v>
      </c>
      <c r="W28" s="2">
        <v>79.244346618652344</v>
      </c>
      <c r="X28" s="2">
        <v>80</v>
      </c>
      <c r="Y28" s="2">
        <v>76.869895935058594</v>
      </c>
      <c r="Z28" s="2">
        <v>84.090911865234375</v>
      </c>
      <c r="AA28" s="2">
        <v>78.922500610351563</v>
      </c>
      <c r="AB28" s="2">
        <v>93.150688171386719</v>
      </c>
      <c r="AC28" s="46" t="str">
        <f t="shared" si="9"/>
        <v>NRA*</v>
      </c>
      <c r="AD28" s="2">
        <v>47.959182739257813</v>
      </c>
      <c r="AE28" s="2">
        <v>54.202362060546875</v>
      </c>
      <c r="AF28" s="2"/>
      <c r="AG28" s="34">
        <f t="shared" si="10"/>
        <v>197</v>
      </c>
      <c r="AH28" s="34" t="str" cm="1">
        <f t="array" ref="AH28">IF(AG28="NR**","NR**",INDEX(trust_indicator_data!$A$2:$BE$127,(ROW()-ROW(trust_indicator_data!$A$1:$BE$1)),MATCH(selected_indic_name_adj,trust_indicator_data!$A$1:$BE$1,0)))</f>
        <v>NRA*</v>
      </c>
      <c r="AI28" s="34" t="str">
        <f>IF(AG28="NR**","NR**",IF(AH28="NRA*","NRA*",RANK(AH28,AH:AH,1)+COUNTIF($AH$2:AH28,AH28)-1))</f>
        <v>NRA*</v>
      </c>
      <c r="AJ28" s="34" cm="1">
        <f t="array" ref="AJ28">IF(AG28="NR**","NR**",INDEX(trust_indicator_data!$A$2:$BE$127,(ROW()-ROW(trust_indicator_data!$A$1:$BE$1)),MATCH(selected_indic_name_unadj,trust_indicator_data!$A$1:$BE$1,0)))</f>
        <v>50.549449920654297</v>
      </c>
      <c r="AK28" s="34">
        <f>IF(AG28="NR**","NR**",RANK(trust_indicator_data!AJ28,AJ:AJ,1)+COUNTIF($AJ$2:AJ28,AJ28)-1)</f>
        <v>70</v>
      </c>
      <c r="AM28" s="34" cm="1">
        <f t="array" ref="AM28">IF(AQ28&lt;10,0,INDEX(trust_indicator_data!$A$2:$BE$127,(ROW()-ROW(trust_indicator_data!$A$1:$BE$1)),MATCH(selected_indic_name_unadj,trust_indicator_data!$A$1:$BE$1,0)))</f>
        <v>50.549449920654297</v>
      </c>
      <c r="AN28" s="34">
        <f t="shared" si="11"/>
        <v>70</v>
      </c>
      <c r="AP28" s="34">
        <f>RANK(trust_indicator_data!$AQ28,AQ:AQ,1)+COUNTIF($AQ$2:AQ28,AQ28)-1</f>
        <v>41</v>
      </c>
      <c r="AQ28" s="34" cm="1">
        <f t="array" ref="AQ28">INDEX(trust_indicator_data!$A$2:$BE$127,(ROW()-ROW(trust_indicator_data!$A$1:$BE$1)),MATCH(selected_indic_denom,trust_indicator_data!$A$1:$BE$1,0))</f>
        <v>197</v>
      </c>
      <c r="AR28" s="34" cm="1">
        <f t="array" ref="AR28">INDEX(trust_indicator_data!$A$2:$BE$127,(ROW()-ROW(trust_indicator_data!$A$1:$BE$1)),MATCH(selected_indic_name_unadj,trust_indicator_data!$A$1:$BE$1,0))/100</f>
        <v>0.50549449920654299</v>
      </c>
      <c r="AS28" s="34">
        <f>IF(AQ28&lt;10,NA(),trust_indicator_data!$AR28)</f>
        <v>0.50549449920654299</v>
      </c>
      <c r="AU28" s="34">
        <f>INDEX(table_national_indic,MATCH($AU$1,national_indicator_data!$A$1:$A$17,0),MATCH(selected_indic_name_unadj,national_indicator_data!$A$1:$R$1,0))</f>
        <v>0.47675243377685544</v>
      </c>
      <c r="AV28" s="34">
        <f>INDEX(table_national_indic,MATCH($AV$1,national_indicator_data!$A$1:$A$7,0),MATCH(selected_indic_name_unadj,national_indicator_data!$A$1:$R$1,0))</f>
        <v>0.76214221292766271</v>
      </c>
      <c r="AW28" s="34">
        <f t="shared" si="0"/>
        <v>0.69089516293975306</v>
      </c>
      <c r="AX28" s="34">
        <f t="shared" si="1"/>
        <v>0.83338926291557236</v>
      </c>
      <c r="AY28" s="34">
        <f t="shared" si="2"/>
        <v>0.65527163794579824</v>
      </c>
      <c r="AZ28" s="34">
        <f t="shared" si="3"/>
        <v>0.86901278790952718</v>
      </c>
      <c r="BA28" s="34">
        <f>INDEX(table_national_indic,MATCH($BA$1,national_indicator_data!$A$1:$A$7,0),MATCH(selected_indic_name_unadj,national_indicator_data!$A$1:$R$1,0))</f>
        <v>0</v>
      </c>
      <c r="BB28" s="34">
        <f t="shared" si="4"/>
        <v>0.40605865473653213</v>
      </c>
      <c r="BC28" s="34">
        <f t="shared" si="12"/>
        <v>0.54791744645887153</v>
      </c>
      <c r="BD28" s="34">
        <f t="shared" si="13"/>
        <v>0.37133745524229672</v>
      </c>
      <c r="BE28" s="34">
        <f t="shared" si="14"/>
        <v>0.58322544659760756</v>
      </c>
      <c r="BG28">
        <f t="shared" si="15"/>
        <v>27</v>
      </c>
      <c r="BH28">
        <f t="shared" si="5"/>
        <v>148</v>
      </c>
      <c r="BI28" s="42">
        <f t="shared" si="16"/>
        <v>0.39416057586669923</v>
      </c>
      <c r="BJ28" s="42">
        <f t="shared" si="17"/>
        <v>0.39532465494754709</v>
      </c>
      <c r="BK28" s="42">
        <f t="shared" si="18"/>
        <v>0.55880711136258576</v>
      </c>
      <c r="BL28" s="42">
        <f t="shared" si="19"/>
        <v>0.35553432925743367</v>
      </c>
      <c r="BM28" s="42">
        <f t="shared" si="20"/>
        <v>0.59937709211636936</v>
      </c>
      <c r="BN28" s="42">
        <f t="shared" si="21"/>
        <v>0.47675243377685544</v>
      </c>
    </row>
    <row r="29" spans="1:66" x14ac:dyDescent="0.25">
      <c r="A29" t="s">
        <v>144</v>
      </c>
      <c r="B29" t="s">
        <v>143</v>
      </c>
      <c r="C29" t="s">
        <v>63</v>
      </c>
      <c r="D29" t="s">
        <v>61</v>
      </c>
      <c r="E29" s="2">
        <v>374</v>
      </c>
      <c r="F29" s="2">
        <v>345</v>
      </c>
      <c r="G29" s="2">
        <v>25</v>
      </c>
      <c r="H29" s="2">
        <v>50</v>
      </c>
      <c r="I29" s="2">
        <v>72</v>
      </c>
      <c r="J29" s="2">
        <v>86</v>
      </c>
      <c r="K29" s="2">
        <v>29</v>
      </c>
      <c r="L29" s="2">
        <v>48.967552185058594</v>
      </c>
      <c r="M29" s="46" t="str">
        <f t="shared" si="6"/>
        <v>NRA*</v>
      </c>
      <c r="N29" s="2">
        <v>51.675975799560547</v>
      </c>
      <c r="O29" s="46" t="str">
        <f t="shared" si="7"/>
        <v>NRA*</v>
      </c>
      <c r="P29" s="2">
        <v>84</v>
      </c>
      <c r="Q29" s="46" t="str">
        <f t="shared" si="8"/>
        <v>NRA*</v>
      </c>
      <c r="R29" s="2">
        <v>12.463768005371094</v>
      </c>
      <c r="S29" s="2">
        <v>14.441534996032715</v>
      </c>
      <c r="T29" s="2">
        <v>60</v>
      </c>
      <c r="U29" s="4">
        <v>63.116390228271484</v>
      </c>
      <c r="V29" s="2">
        <v>63.888889312744141</v>
      </c>
      <c r="W29" s="2">
        <v>67.02587890625</v>
      </c>
      <c r="X29" s="2">
        <v>34.482757568359375</v>
      </c>
      <c r="Y29" s="2">
        <v>37.088539123535156</v>
      </c>
      <c r="Z29" s="2">
        <v>61.627906799316406</v>
      </c>
      <c r="AA29" s="2">
        <v>63.071765899658203</v>
      </c>
      <c r="AB29" s="2">
        <v>95.275588989257813</v>
      </c>
      <c r="AC29" s="46" t="str">
        <f t="shared" si="9"/>
        <v>NRA*</v>
      </c>
      <c r="AD29" s="2">
        <v>37.903224945068359</v>
      </c>
      <c r="AE29" s="2">
        <v>38.093524932861328</v>
      </c>
      <c r="AF29" s="2"/>
      <c r="AG29" s="4">
        <f t="shared" si="10"/>
        <v>374</v>
      </c>
      <c r="AH29" s="4" t="str" cm="1">
        <f t="array" ref="AH29">IF(AG29="NR**","NR**",INDEX(trust_indicator_data!$A$2:$BE$127,(ROW()-ROW(trust_indicator_data!$A$1:$BE$1)),MATCH(selected_indic_name_adj,trust_indicator_data!$A$1:$BE$1,0)))</f>
        <v>NRA*</v>
      </c>
      <c r="AI29" s="4" t="str">
        <f>IF(AG29="NR**","NR**",IF(AH29="NRA*","NRA*",RANK(AH29,AH:AH,1)+COUNTIF($AH$2:AH29,AH29)-1))</f>
        <v>NRA*</v>
      </c>
      <c r="AJ29" s="4" cm="1">
        <f t="array" ref="AJ29">IF(AG29="NR**","NR**",INDEX(trust_indicator_data!$A$2:$BE$127,(ROW()-ROW(trust_indicator_data!$A$1:$BE$1)),MATCH(selected_indic_name_unadj,trust_indicator_data!$A$1:$BE$1,0)))</f>
        <v>48.967552185058594</v>
      </c>
      <c r="AK29" s="4">
        <f>IF(AG29="NR**","NR**",RANK(trust_indicator_data!AJ29,AJ:AJ,1)+COUNTIF($AJ$2:AJ29,AJ29)-1)</f>
        <v>58</v>
      </c>
      <c r="AM29" s="4" cm="1">
        <f t="array" ref="AM29">IF(AQ29&lt;10,0,INDEX(trust_indicator_data!$A$2:$BE$127,(ROW()-ROW(trust_indicator_data!$A$1:$BE$1)),MATCH(selected_indic_name_unadj,trust_indicator_data!$A$1:$BE$1,0)))</f>
        <v>48.967552185058594</v>
      </c>
      <c r="AN29" s="4">
        <f t="shared" si="11"/>
        <v>58</v>
      </c>
      <c r="AP29" s="4">
        <f>RANK(trust_indicator_data!$AQ29,AQ:AQ,1)+COUNTIF($AQ$2:AQ29,AQ29)-1</f>
        <v>103</v>
      </c>
      <c r="AQ29" s="4" cm="1">
        <f t="array" ref="AQ29">INDEX(trust_indicator_data!$A$2:$BE$127,(ROW()-ROW(trust_indicator_data!$A$1:$BE$1)),MATCH(selected_indic_denom,trust_indicator_data!$A$1:$BE$1,0))</f>
        <v>374</v>
      </c>
      <c r="AR29" s="4" cm="1">
        <f t="array" ref="AR29">INDEX(trust_indicator_data!$A$2:$BE$127,(ROW()-ROW(trust_indicator_data!$A$1:$BE$1)),MATCH(selected_indic_name_unadj,trust_indicator_data!$A$1:$BE$1,0))/100</f>
        <v>0.48967552185058594</v>
      </c>
      <c r="AS29" s="4">
        <f>IF(AQ29&lt;10,NA(),trust_indicator_data!$AR29)</f>
        <v>0.48967552185058594</v>
      </c>
      <c r="AU29" s="4">
        <f>INDEX(table_national_indic,MATCH($AU$1,national_indicator_data!$A$1:$A$17,0),MATCH(selected_indic_name_unadj,national_indicator_data!$A$1:$R$1,0))</f>
        <v>0.47675243377685544</v>
      </c>
      <c r="AV29" s="4">
        <f>INDEX(table_national_indic,MATCH($AV$1,national_indicator_data!$A$1:$A$7,0),MATCH(selected_indic_name_unadj,national_indicator_data!$A$1:$R$1,0))</f>
        <v>0.76214221292766271</v>
      </c>
      <c r="AW29" s="4">
        <f t="shared" si="0"/>
        <v>0.71043344392816077</v>
      </c>
      <c r="AX29" s="4">
        <f t="shared" si="1"/>
        <v>0.81385098192716465</v>
      </c>
      <c r="AY29" s="4">
        <f t="shared" si="2"/>
        <v>0.6845790594284098</v>
      </c>
      <c r="AZ29" s="4">
        <f t="shared" si="3"/>
        <v>0.83970536642691562</v>
      </c>
      <c r="BA29" s="4">
        <f>INDEX(table_national_indic,MATCH($BA$1,national_indicator_data!$A$1:$A$7,0),MATCH(selected_indic_name_unadj,national_indicator_data!$A$1:$R$1,0))</f>
        <v>0</v>
      </c>
      <c r="BB29" s="4">
        <f t="shared" si="4"/>
        <v>0.42531581831756221</v>
      </c>
      <c r="BC29" s="4">
        <f t="shared" si="12"/>
        <v>0.5284374647853729</v>
      </c>
      <c r="BD29" s="4">
        <f t="shared" si="13"/>
        <v>0.39986269183115447</v>
      </c>
      <c r="BE29" s="4">
        <f t="shared" si="14"/>
        <v>0.55420048817539702</v>
      </c>
      <c r="BG29">
        <f t="shared" si="15"/>
        <v>28</v>
      </c>
      <c r="BH29">
        <f t="shared" si="5"/>
        <v>149</v>
      </c>
      <c r="BI29" s="42">
        <f t="shared" si="16"/>
        <v>0.55882354736328121</v>
      </c>
      <c r="BJ29" s="42">
        <f t="shared" si="17"/>
        <v>0.39559484984624865</v>
      </c>
      <c r="BK29" s="42">
        <f t="shared" si="18"/>
        <v>0.55853271850644981</v>
      </c>
      <c r="BL29" s="42">
        <f t="shared" si="19"/>
        <v>0.3559311547740554</v>
      </c>
      <c r="BM29" s="42">
        <f t="shared" si="20"/>
        <v>0.59897087420666939</v>
      </c>
      <c r="BN29" s="42">
        <f t="shared" si="21"/>
        <v>0.47675243377685544</v>
      </c>
    </row>
    <row r="30" spans="1:66" x14ac:dyDescent="0.25">
      <c r="A30" t="s">
        <v>252</v>
      </c>
      <c r="B30" t="s">
        <v>251</v>
      </c>
      <c r="C30" t="s">
        <v>48</v>
      </c>
      <c r="D30" t="s">
        <v>46</v>
      </c>
      <c r="E30" s="2">
        <v>238</v>
      </c>
      <c r="F30" s="2">
        <v>214</v>
      </c>
      <c r="G30" s="2">
        <v>22</v>
      </c>
      <c r="H30" s="2">
        <v>21</v>
      </c>
      <c r="I30" s="2">
        <v>36</v>
      </c>
      <c r="J30" s="2">
        <v>17</v>
      </c>
      <c r="K30" s="2">
        <v>22</v>
      </c>
      <c r="L30" s="2">
        <v>41.747573852539063</v>
      </c>
      <c r="M30" s="46" t="str">
        <f t="shared" si="6"/>
        <v>NRA*</v>
      </c>
      <c r="N30" s="2">
        <v>28.095237731933594</v>
      </c>
      <c r="O30" s="46" t="str">
        <f t="shared" si="7"/>
        <v>NRA*</v>
      </c>
      <c r="P30" s="2">
        <v>71.428573608398438</v>
      </c>
      <c r="Q30" s="46" t="str">
        <f t="shared" si="8"/>
        <v>NRA*</v>
      </c>
      <c r="R30" s="2">
        <v>8.4112148284912109</v>
      </c>
      <c r="S30" s="2">
        <v>13.511070251464844</v>
      </c>
      <c r="T30" s="2">
        <v>86.363639831542969</v>
      </c>
      <c r="U30" s="4">
        <v>116.54439544677734</v>
      </c>
      <c r="V30" s="2">
        <v>69.444442749023438</v>
      </c>
      <c r="W30" s="2">
        <v>77.692619323730469</v>
      </c>
      <c r="X30" s="2">
        <v>68.181816101074219</v>
      </c>
      <c r="Y30" s="2">
        <v>71.107398986816406</v>
      </c>
      <c r="Z30" s="2">
        <v>58.823528289794922</v>
      </c>
      <c r="AA30" s="2">
        <v>65.388404846191406</v>
      </c>
      <c r="AB30" s="2">
        <v>96.503494262695313</v>
      </c>
      <c r="AC30" s="46" t="str">
        <f t="shared" si="9"/>
        <v>NRA*</v>
      </c>
      <c r="AD30" s="2">
        <v>50.847457885742188</v>
      </c>
      <c r="AE30" s="2">
        <v>40.821941375732422</v>
      </c>
      <c r="AF30" s="2"/>
      <c r="AG30" s="34">
        <f t="shared" si="10"/>
        <v>238</v>
      </c>
      <c r="AH30" s="34" t="str" cm="1">
        <f t="array" ref="AH30">IF(AG30="NR**","NR**",INDEX(trust_indicator_data!$A$2:$BE$127,(ROW()-ROW(trust_indicator_data!$A$1:$BE$1)),MATCH(selected_indic_name_adj,trust_indicator_data!$A$1:$BE$1,0)))</f>
        <v>NRA*</v>
      </c>
      <c r="AI30" s="34" t="str">
        <f>IF(AG30="NR**","NR**",IF(AH30="NRA*","NRA*",RANK(AH30,AH:AH,1)+COUNTIF($AH$2:AH30,AH30)-1))</f>
        <v>NRA*</v>
      </c>
      <c r="AJ30" s="34" cm="1">
        <f t="array" ref="AJ30">IF(AG30="NR**","NR**",INDEX(trust_indicator_data!$A$2:$BE$127,(ROW()-ROW(trust_indicator_data!$A$1:$BE$1)),MATCH(selected_indic_name_unadj,trust_indicator_data!$A$1:$BE$1,0)))</f>
        <v>41.747573852539063</v>
      </c>
      <c r="AK30" s="34">
        <f>IF(AG30="NR**","NR**",RANK(trust_indicator_data!AJ30,AJ:AJ,1)+COUNTIF($AJ$2:AJ30,AJ30)-1)</f>
        <v>22</v>
      </c>
      <c r="AM30" s="34" cm="1">
        <f t="array" ref="AM30">IF(AQ30&lt;10,0,INDEX(trust_indicator_data!$A$2:$BE$127,(ROW()-ROW(trust_indicator_data!$A$1:$BE$1)),MATCH(selected_indic_name_unadj,trust_indicator_data!$A$1:$BE$1,0)))</f>
        <v>41.747573852539063</v>
      </c>
      <c r="AN30" s="34">
        <f t="shared" si="11"/>
        <v>22</v>
      </c>
      <c r="AP30" s="34">
        <f>RANK(trust_indicator_data!$AQ30,AQ:AQ,1)+COUNTIF($AQ$2:AQ30,AQ30)-1</f>
        <v>64</v>
      </c>
      <c r="AQ30" s="34" cm="1">
        <f t="array" ref="AQ30">INDEX(trust_indicator_data!$A$2:$BE$127,(ROW()-ROW(trust_indicator_data!$A$1:$BE$1)),MATCH(selected_indic_denom,trust_indicator_data!$A$1:$BE$1,0))</f>
        <v>238</v>
      </c>
      <c r="AR30" s="34" cm="1">
        <f t="array" ref="AR30">INDEX(trust_indicator_data!$A$2:$BE$127,(ROW()-ROW(trust_indicator_data!$A$1:$BE$1)),MATCH(selected_indic_name_unadj,trust_indicator_data!$A$1:$BE$1,0))/100</f>
        <v>0.41747573852539061</v>
      </c>
      <c r="AS30" s="34">
        <f>IF(AQ30&lt;10,NA(),trust_indicator_data!$AR30)</f>
        <v>0.41747573852539061</v>
      </c>
      <c r="AU30" s="34">
        <f>INDEX(table_national_indic,MATCH($AU$1,national_indicator_data!$A$1:$A$17,0),MATCH(selected_indic_name_unadj,national_indicator_data!$A$1:$R$1,0))</f>
        <v>0.47675243377685544</v>
      </c>
      <c r="AV30" s="34">
        <f>INDEX(table_national_indic,MATCH($AV$1,national_indicator_data!$A$1:$A$7,0),MATCH(selected_indic_name_unadj,national_indicator_data!$A$1:$R$1,0))</f>
        <v>0.76214221292766271</v>
      </c>
      <c r="AW30" s="34">
        <f t="shared" si="0"/>
        <v>0.69732184057244628</v>
      </c>
      <c r="AX30" s="34">
        <f t="shared" si="1"/>
        <v>0.82696258528287914</v>
      </c>
      <c r="AY30" s="34">
        <f t="shared" si="2"/>
        <v>0.66491165439483801</v>
      </c>
      <c r="AZ30" s="34">
        <f t="shared" si="3"/>
        <v>0.85937277146048741</v>
      </c>
      <c r="BA30" s="34">
        <f>INDEX(table_national_indic,MATCH($BA$1,national_indicator_data!$A$1:$A$7,0),MATCH(selected_indic_name_unadj,national_indicator_data!$A$1:$R$1,0))</f>
        <v>0</v>
      </c>
      <c r="BB30" s="34">
        <f t="shared" si="4"/>
        <v>0.41237846877777601</v>
      </c>
      <c r="BC30" s="34">
        <f t="shared" si="12"/>
        <v>0.54151656726067077</v>
      </c>
      <c r="BD30" s="34">
        <f t="shared" si="13"/>
        <v>0.38067617845372803</v>
      </c>
      <c r="BE30" s="34">
        <f t="shared" si="14"/>
        <v>0.57370503193318889</v>
      </c>
      <c r="BG30">
        <f t="shared" si="15"/>
        <v>29</v>
      </c>
      <c r="BH30">
        <f t="shared" si="5"/>
        <v>156</v>
      </c>
      <c r="BI30" s="42">
        <f t="shared" si="16"/>
        <v>0.48993289947509766</v>
      </c>
      <c r="BJ30" s="42">
        <f t="shared" si="17"/>
        <v>0.39741370048870944</v>
      </c>
      <c r="BK30" s="42">
        <f t="shared" si="18"/>
        <v>0.55668598589509277</v>
      </c>
      <c r="BL30" s="42">
        <f t="shared" si="19"/>
        <v>0.35860378397648224</v>
      </c>
      <c r="BM30" s="42">
        <f t="shared" si="20"/>
        <v>0.59623585360376896</v>
      </c>
      <c r="BN30" s="42">
        <f t="shared" si="21"/>
        <v>0.47675243377685544</v>
      </c>
    </row>
    <row r="31" spans="1:66" x14ac:dyDescent="0.25">
      <c r="A31" t="s">
        <v>214</v>
      </c>
      <c r="B31" t="s">
        <v>213</v>
      </c>
      <c r="C31" t="s">
        <v>74</v>
      </c>
      <c r="D31" t="s">
        <v>72</v>
      </c>
      <c r="E31" s="2">
        <v>99</v>
      </c>
      <c r="F31" s="2">
        <v>84</v>
      </c>
      <c r="G31" s="2">
        <v>14</v>
      </c>
      <c r="H31" s="2">
        <v>7</v>
      </c>
      <c r="I31" s="2">
        <v>7</v>
      </c>
      <c r="J31" s="2">
        <v>20</v>
      </c>
      <c r="K31" s="2">
        <v>4</v>
      </c>
      <c r="L31" s="2">
        <v>71.264366149902344</v>
      </c>
      <c r="M31" s="46" t="str">
        <f t="shared" si="6"/>
        <v>NRA*</v>
      </c>
      <c r="N31" s="2">
        <v>42.696628570556641</v>
      </c>
      <c r="O31" s="46" t="str">
        <f t="shared" si="7"/>
        <v>NRA*</v>
      </c>
      <c r="P31" s="2"/>
      <c r="Q31" s="46" t="str">
        <f t="shared" si="8"/>
        <v>NRA*</v>
      </c>
      <c r="R31" s="2">
        <v>7.1428570747375488</v>
      </c>
      <c r="S31" s="2">
        <v>15.986135482788086</v>
      </c>
      <c r="T31" s="2">
        <v>50</v>
      </c>
      <c r="U31" s="4">
        <v>52.775127410888672</v>
      </c>
      <c r="V31" s="2"/>
      <c r="W31" s="2"/>
      <c r="X31" s="2"/>
      <c r="Y31" s="2"/>
      <c r="Z31" s="2">
        <v>50</v>
      </c>
      <c r="AA31" s="2">
        <v>55.029487609863281</v>
      </c>
      <c r="AB31" s="2">
        <v>85</v>
      </c>
      <c r="AC31" s="46" t="str">
        <f t="shared" si="9"/>
        <v>NRA*</v>
      </c>
      <c r="AD31" s="2">
        <v>52.577320098876953</v>
      </c>
      <c r="AE31" s="2">
        <v>40.498725891113281</v>
      </c>
      <c r="AF31" s="2"/>
      <c r="AG31" s="4">
        <f t="shared" si="10"/>
        <v>99</v>
      </c>
      <c r="AH31" s="4" t="str" cm="1">
        <f t="array" ref="AH31">IF(AG31="NR**","NR**",INDEX(trust_indicator_data!$A$2:$BE$127,(ROW()-ROW(trust_indicator_data!$A$1:$BE$1)),MATCH(selected_indic_name_adj,trust_indicator_data!$A$1:$BE$1,0)))</f>
        <v>NRA*</v>
      </c>
      <c r="AI31" s="4" t="str">
        <f>IF(AG31="NR**","NR**",IF(AH31="NRA*","NRA*",RANK(AH31,AH:AH,1)+COUNTIF($AH$2:AH31,AH31)-1))</f>
        <v>NRA*</v>
      </c>
      <c r="AJ31" s="4" cm="1">
        <f t="array" ref="AJ31">IF(AG31="NR**","NR**",INDEX(trust_indicator_data!$A$2:$BE$127,(ROW()-ROW(trust_indicator_data!$A$1:$BE$1)),MATCH(selected_indic_name_unadj,trust_indicator_data!$A$1:$BE$1,0)))</f>
        <v>71.264366149902344</v>
      </c>
      <c r="AK31" s="4">
        <f>IF(AG31="NR**","NR**",RANK(trust_indicator_data!AJ31,AJ:AJ,1)+COUNTIF($AJ$2:AJ31,AJ31)-1)</f>
        <v>125</v>
      </c>
      <c r="AM31" s="4" cm="1">
        <f t="array" ref="AM31">IF(AQ31&lt;10,0,INDEX(trust_indicator_data!$A$2:$BE$127,(ROW()-ROW(trust_indicator_data!$A$1:$BE$1)),MATCH(selected_indic_name_unadj,trust_indicator_data!$A$1:$BE$1,0)))</f>
        <v>71.264366149902344</v>
      </c>
      <c r="AN31" s="4">
        <f t="shared" si="11"/>
        <v>125</v>
      </c>
      <c r="AP31" s="4">
        <f>RANK(trust_indicator_data!$AQ31,AQ:AQ,1)+COUNTIF($AQ$2:AQ31,AQ31)-1</f>
        <v>8</v>
      </c>
      <c r="AQ31" s="4" cm="1">
        <f t="array" ref="AQ31">INDEX(trust_indicator_data!$A$2:$BE$127,(ROW()-ROW(trust_indicator_data!$A$1:$BE$1)),MATCH(selected_indic_denom,trust_indicator_data!$A$1:$BE$1,0))</f>
        <v>99</v>
      </c>
      <c r="AR31" s="4" cm="1">
        <f t="array" ref="AR31">INDEX(trust_indicator_data!$A$2:$BE$127,(ROW()-ROW(trust_indicator_data!$A$1:$BE$1)),MATCH(selected_indic_name_unadj,trust_indicator_data!$A$1:$BE$1,0))/100</f>
        <v>0.71264366149902347</v>
      </c>
      <c r="AS31" s="4">
        <f>IF(AQ31&lt;10,NA(),trust_indicator_data!$AR31)</f>
        <v>0.71264366149902347</v>
      </c>
      <c r="AU31" s="4">
        <f>INDEX(table_national_indic,MATCH($AU$1,national_indicator_data!$A$1:$A$17,0),MATCH(selected_indic_name_unadj,national_indicator_data!$A$1:$R$1,0))</f>
        <v>0.47675243377685544</v>
      </c>
      <c r="AV31" s="4">
        <f>INDEX(table_national_indic,MATCH($AV$1,national_indicator_data!$A$1:$A$7,0),MATCH(selected_indic_name_unadj,national_indicator_data!$A$1:$R$1,0))</f>
        <v>0.76214221292766271</v>
      </c>
      <c r="AW31" s="4">
        <f t="shared" si="0"/>
        <v>0.6616384314017415</v>
      </c>
      <c r="AX31" s="4">
        <f t="shared" si="1"/>
        <v>0.86264599445358392</v>
      </c>
      <c r="AY31" s="4">
        <f t="shared" si="2"/>
        <v>0.61138654063878084</v>
      </c>
      <c r="AZ31" s="4">
        <f t="shared" si="3"/>
        <v>0.91289788521654458</v>
      </c>
      <c r="BA31" s="4">
        <f>INDEX(table_national_indic,MATCH($BA$1,national_indicator_data!$A$1:$A$7,0),MATCH(selected_indic_name_unadj,national_indicator_data!$A$1:$R$1,0))</f>
        <v>0</v>
      </c>
      <c r="BB31" s="4">
        <f t="shared" si="4"/>
        <v>0.37750011078856988</v>
      </c>
      <c r="BC31" s="4">
        <f t="shared" si="12"/>
        <v>0.57694089401498927</v>
      </c>
      <c r="BD31" s="4">
        <f t="shared" si="13"/>
        <v>0.32947988525129945</v>
      </c>
      <c r="BE31" s="4">
        <f t="shared" si="14"/>
        <v>0.6261224351317195</v>
      </c>
      <c r="BG31">
        <f t="shared" si="15"/>
        <v>30</v>
      </c>
      <c r="BH31">
        <f t="shared" si="5"/>
        <v>158</v>
      </c>
      <c r="BI31" s="42">
        <f t="shared" si="16"/>
        <v>0.59821430206298831</v>
      </c>
      <c r="BJ31" s="42">
        <f t="shared" si="17"/>
        <v>0.39791128720433455</v>
      </c>
      <c r="BK31" s="42">
        <f t="shared" si="18"/>
        <v>0.55618088571886182</v>
      </c>
      <c r="BL31" s="42">
        <f t="shared" si="19"/>
        <v>0.3593353455314926</v>
      </c>
      <c r="BM31" s="42">
        <f t="shared" si="20"/>
        <v>0.59548747650650868</v>
      </c>
      <c r="BN31" s="42">
        <f t="shared" si="21"/>
        <v>0.47675243377685544</v>
      </c>
    </row>
    <row r="32" spans="1:66" x14ac:dyDescent="0.25">
      <c r="A32" t="s">
        <v>264</v>
      </c>
      <c r="B32" t="s">
        <v>263</v>
      </c>
      <c r="C32" t="s">
        <v>54</v>
      </c>
      <c r="D32" t="s">
        <v>52</v>
      </c>
      <c r="E32" s="2">
        <v>261</v>
      </c>
      <c r="F32" s="2">
        <v>236</v>
      </c>
      <c r="G32" s="2">
        <v>24</v>
      </c>
      <c r="H32" s="2">
        <v>38</v>
      </c>
      <c r="I32" s="2">
        <v>52</v>
      </c>
      <c r="J32" s="2">
        <v>67</v>
      </c>
      <c r="K32" s="2">
        <v>23</v>
      </c>
      <c r="L32" s="2">
        <v>53.386455535888672</v>
      </c>
      <c r="M32" s="46" t="str">
        <f t="shared" si="6"/>
        <v>NRA*</v>
      </c>
      <c r="N32" s="2">
        <v>52</v>
      </c>
      <c r="O32" s="46" t="str">
        <f t="shared" si="7"/>
        <v>NRA*</v>
      </c>
      <c r="P32" s="2">
        <v>78.947364807128906</v>
      </c>
      <c r="Q32" s="46" t="str">
        <f t="shared" si="8"/>
        <v>NRA*</v>
      </c>
      <c r="R32" s="2">
        <v>11.016948699951172</v>
      </c>
      <c r="S32" s="2">
        <v>12.696690559387207</v>
      </c>
      <c r="T32" s="2">
        <v>58.333332061767578</v>
      </c>
      <c r="U32" s="4">
        <v>60.035636901855469</v>
      </c>
      <c r="V32" s="2">
        <v>71.153846740722656</v>
      </c>
      <c r="W32" s="2">
        <v>74.621696472167969</v>
      </c>
      <c r="X32" s="2">
        <v>47.826087951660156</v>
      </c>
      <c r="Y32" s="2">
        <v>53.828876495361328</v>
      </c>
      <c r="Z32" s="2">
        <v>68.656715393066406</v>
      </c>
      <c r="AA32" s="2">
        <v>66.140060424804688</v>
      </c>
      <c r="AB32" s="2">
        <v>94.086021423339844</v>
      </c>
      <c r="AC32" s="46" t="str">
        <f t="shared" si="9"/>
        <v>NRA*</v>
      </c>
      <c r="AD32" s="2">
        <v>36.290321350097656</v>
      </c>
      <c r="AE32" s="2">
        <v>35.666728973388672</v>
      </c>
      <c r="AF32" s="2"/>
      <c r="AG32" s="34">
        <f t="shared" si="10"/>
        <v>261</v>
      </c>
      <c r="AH32" s="34" t="str" cm="1">
        <f t="array" ref="AH32">IF(AG32="NR**","NR**",INDEX(trust_indicator_data!$A$2:$BE$127,(ROW()-ROW(trust_indicator_data!$A$1:$BE$1)),MATCH(selected_indic_name_adj,trust_indicator_data!$A$1:$BE$1,0)))</f>
        <v>NRA*</v>
      </c>
      <c r="AI32" s="34" t="str">
        <f>IF(AG32="NR**","NR**",IF(AH32="NRA*","NRA*",RANK(AH32,AH:AH,1)+COUNTIF($AH$2:AH32,AH32)-1))</f>
        <v>NRA*</v>
      </c>
      <c r="AJ32" s="34" cm="1">
        <f t="array" ref="AJ32">IF(AG32="NR**","NR**",INDEX(trust_indicator_data!$A$2:$BE$127,(ROW()-ROW(trust_indicator_data!$A$1:$BE$1)),MATCH(selected_indic_name_unadj,trust_indicator_data!$A$1:$BE$1,0)))</f>
        <v>53.386455535888672</v>
      </c>
      <c r="AK32" s="34">
        <f>IF(AG32="NR**","NR**",RANK(trust_indicator_data!AJ32,AJ:AJ,1)+COUNTIF($AJ$2:AJ32,AJ32)-1)</f>
        <v>90</v>
      </c>
      <c r="AM32" s="34" cm="1">
        <f t="array" ref="AM32">IF(AQ32&lt;10,0,INDEX(trust_indicator_data!$A$2:$BE$127,(ROW()-ROW(trust_indicator_data!$A$1:$BE$1)),MATCH(selected_indic_name_unadj,trust_indicator_data!$A$1:$BE$1,0)))</f>
        <v>53.386455535888672</v>
      </c>
      <c r="AN32" s="34">
        <f t="shared" si="11"/>
        <v>90</v>
      </c>
      <c r="AP32" s="34">
        <f>RANK(trust_indicator_data!$AQ32,AQ:AQ,1)+COUNTIF($AQ$2:AQ32,AQ32)-1</f>
        <v>72</v>
      </c>
      <c r="AQ32" s="34" cm="1">
        <f t="array" ref="AQ32">INDEX(trust_indicator_data!$A$2:$BE$127,(ROW()-ROW(trust_indicator_data!$A$1:$BE$1)),MATCH(selected_indic_denom,trust_indicator_data!$A$1:$BE$1,0))</f>
        <v>261</v>
      </c>
      <c r="AR32" s="34" cm="1">
        <f t="array" ref="AR32">INDEX(trust_indicator_data!$A$2:$BE$127,(ROW()-ROW(trust_indicator_data!$A$1:$BE$1)),MATCH(selected_indic_name_unadj,trust_indicator_data!$A$1:$BE$1,0))/100</f>
        <v>0.53386455535888677</v>
      </c>
      <c r="AS32" s="34">
        <f>IF(AQ32&lt;10,NA(),trust_indicator_data!$AR32)</f>
        <v>0.53386455535888677</v>
      </c>
      <c r="AU32" s="34">
        <f>INDEX(table_national_indic,MATCH($AU$1,national_indicator_data!$A$1:$A$17,0),MATCH(selected_indic_name_unadj,national_indicator_data!$A$1:$R$1,0))</f>
        <v>0.47675243377685544</v>
      </c>
      <c r="AV32" s="34">
        <f>INDEX(table_national_indic,MATCH($AV$1,national_indicator_data!$A$1:$A$7,0),MATCH(selected_indic_name_unadj,national_indicator_data!$A$1:$R$1,0))</f>
        <v>0.76214221292766271</v>
      </c>
      <c r="AW32" s="34">
        <f t="shared" si="0"/>
        <v>0.70024376686864542</v>
      </c>
      <c r="AX32" s="34">
        <f t="shared" si="1"/>
        <v>0.82404065898668</v>
      </c>
      <c r="AY32" s="34">
        <f t="shared" si="2"/>
        <v>0.66929454383913678</v>
      </c>
      <c r="AZ32" s="34">
        <f t="shared" si="3"/>
        <v>0.85498988201618864</v>
      </c>
      <c r="BA32" s="34">
        <f>INDEX(table_national_indic,MATCH($BA$1,national_indicator_data!$A$1:$A$7,0),MATCH(selected_indic_name_unadj,national_indicator_data!$A$1:$R$1,0))</f>
        <v>0</v>
      </c>
      <c r="BB32" s="34">
        <f t="shared" si="4"/>
        <v>0.41525665863508598</v>
      </c>
      <c r="BC32" s="34">
        <f t="shared" si="12"/>
        <v>0.53860403866587647</v>
      </c>
      <c r="BD32" s="34">
        <f t="shared" si="13"/>
        <v>0.38493695949919943</v>
      </c>
      <c r="BE32" s="34">
        <f t="shared" si="14"/>
        <v>0.56936724735141231</v>
      </c>
      <c r="BG32">
        <f t="shared" si="15"/>
        <v>31</v>
      </c>
      <c r="BH32">
        <f t="shared" si="5"/>
        <v>167</v>
      </c>
      <c r="BI32" s="42">
        <f t="shared" si="16"/>
        <v>0.51851852416992184</v>
      </c>
      <c r="BJ32" s="42">
        <f t="shared" si="17"/>
        <v>0.40003986496529664</v>
      </c>
      <c r="BK32" s="42">
        <f t="shared" si="18"/>
        <v>0.55402071997589386</v>
      </c>
      <c r="BL32" s="42">
        <f t="shared" si="19"/>
        <v>0.36246674959368669</v>
      </c>
      <c r="BM32" s="42">
        <f t="shared" si="20"/>
        <v>0.59228536427880196</v>
      </c>
      <c r="BN32" s="42">
        <f t="shared" si="21"/>
        <v>0.47675243377685544</v>
      </c>
    </row>
    <row r="33" spans="1:66" x14ac:dyDescent="0.25">
      <c r="A33" t="s">
        <v>224</v>
      </c>
      <c r="B33" t="s">
        <v>223</v>
      </c>
      <c r="C33" t="s">
        <v>54</v>
      </c>
      <c r="D33" t="s">
        <v>52</v>
      </c>
      <c r="E33" s="2">
        <v>179</v>
      </c>
      <c r="F33" s="2">
        <v>166</v>
      </c>
      <c r="G33" s="2">
        <v>12</v>
      </c>
      <c r="H33" s="2">
        <v>14</v>
      </c>
      <c r="I33" s="2">
        <v>19</v>
      </c>
      <c r="J33" s="2">
        <v>42</v>
      </c>
      <c r="K33" s="2">
        <v>14</v>
      </c>
      <c r="L33" s="2">
        <v>49.358974456787109</v>
      </c>
      <c r="M33" s="46" t="str">
        <f t="shared" si="6"/>
        <v>NRA*</v>
      </c>
      <c r="N33" s="2">
        <v>45.28302001953125</v>
      </c>
      <c r="O33" s="46" t="str">
        <f t="shared" si="7"/>
        <v>NRA*</v>
      </c>
      <c r="P33" s="2">
        <v>35.714286804199219</v>
      </c>
      <c r="Q33" s="46" t="str">
        <f t="shared" si="8"/>
        <v>NRA*</v>
      </c>
      <c r="R33" s="2">
        <v>7.2289156913757324</v>
      </c>
      <c r="S33" s="2">
        <v>14.412789344787598</v>
      </c>
      <c r="T33" s="2">
        <v>58.333332061767578</v>
      </c>
      <c r="U33" s="4">
        <v>69.124267578125</v>
      </c>
      <c r="V33" s="2">
        <v>73.684211730957031</v>
      </c>
      <c r="W33" s="2">
        <v>86.287322998046875</v>
      </c>
      <c r="X33" s="2">
        <v>21.428571701049805</v>
      </c>
      <c r="Y33" s="2">
        <v>26.905694961547852</v>
      </c>
      <c r="Z33" s="2">
        <v>59.523811340332031</v>
      </c>
      <c r="AA33" s="2">
        <v>55.364246368408203</v>
      </c>
      <c r="AB33" s="2">
        <v>94.915252685546875</v>
      </c>
      <c r="AC33" s="46" t="str">
        <f t="shared" si="9"/>
        <v>NRA*</v>
      </c>
      <c r="AD33" s="2">
        <v>41.242938995361328</v>
      </c>
      <c r="AE33" s="2">
        <v>40.217258453369141</v>
      </c>
      <c r="AF33" s="2"/>
      <c r="AG33" s="4">
        <f t="shared" si="10"/>
        <v>179</v>
      </c>
      <c r="AH33" s="4" t="str" cm="1">
        <f t="array" ref="AH33">IF(AG33="NR**","NR**",INDEX(trust_indicator_data!$A$2:$BE$127,(ROW()-ROW(trust_indicator_data!$A$1:$BE$1)),MATCH(selected_indic_name_adj,trust_indicator_data!$A$1:$BE$1,0)))</f>
        <v>NRA*</v>
      </c>
      <c r="AI33" s="4" t="str">
        <f>IF(AG33="NR**","NR**",IF(AH33="NRA*","NRA*",RANK(AH33,AH:AH,1)+COUNTIF($AH$2:AH33,AH33)-1))</f>
        <v>NRA*</v>
      </c>
      <c r="AJ33" s="4" cm="1">
        <f t="array" ref="AJ33">IF(AG33="NR**","NR**",INDEX(trust_indicator_data!$A$2:$BE$127,(ROW()-ROW(trust_indicator_data!$A$1:$BE$1)),MATCH(selected_indic_name_unadj,trust_indicator_data!$A$1:$BE$1,0)))</f>
        <v>49.358974456787109</v>
      </c>
      <c r="AK33" s="4">
        <f>IF(AG33="NR**","NR**",RANK(trust_indicator_data!AJ33,AJ:AJ,1)+COUNTIF($AJ$2:AJ33,AJ33)-1)</f>
        <v>62</v>
      </c>
      <c r="AM33" s="4" cm="1">
        <f t="array" ref="AM33">IF(AQ33&lt;10,0,INDEX(trust_indicator_data!$A$2:$BE$127,(ROW()-ROW(trust_indicator_data!$A$1:$BE$1)),MATCH(selected_indic_name_unadj,trust_indicator_data!$A$1:$BE$1,0)))</f>
        <v>49.358974456787109</v>
      </c>
      <c r="AN33" s="4">
        <f t="shared" si="11"/>
        <v>62</v>
      </c>
      <c r="AP33" s="4">
        <f>RANK(trust_indicator_data!$AQ33,AQ:AQ,1)+COUNTIF($AQ$2:AQ33,AQ33)-1</f>
        <v>33</v>
      </c>
      <c r="AQ33" s="4" cm="1">
        <f t="array" ref="AQ33">INDEX(trust_indicator_data!$A$2:$BE$127,(ROW()-ROW(trust_indicator_data!$A$1:$BE$1)),MATCH(selected_indic_denom,trust_indicator_data!$A$1:$BE$1,0))</f>
        <v>179</v>
      </c>
      <c r="AR33" s="4" cm="1">
        <f t="array" ref="AR33">INDEX(trust_indicator_data!$A$2:$BE$127,(ROW()-ROW(trust_indicator_data!$A$1:$BE$1)),MATCH(selected_indic_name_unadj,trust_indicator_data!$A$1:$BE$1,0))/100</f>
        <v>0.49358974456787108</v>
      </c>
      <c r="AS33" s="4">
        <f>IF(AQ33&lt;10,NA(),trust_indicator_data!$AR33)</f>
        <v>0.49358974456787108</v>
      </c>
      <c r="AU33" s="4">
        <f>INDEX(table_national_indic,MATCH($AU$1,national_indicator_data!$A$1:$A$17,0),MATCH(selected_indic_name_unadj,national_indicator_data!$A$1:$R$1,0))</f>
        <v>0.47675243377685544</v>
      </c>
      <c r="AV33" s="4">
        <f>INDEX(table_national_indic,MATCH($AV$1,national_indicator_data!$A$1:$A$7,0),MATCH(selected_indic_name_unadj,national_indicator_data!$A$1:$R$1,0))</f>
        <v>0.76214221292766271</v>
      </c>
      <c r="AW33" s="4">
        <f t="shared" si="0"/>
        <v>0.68739870365246913</v>
      </c>
      <c r="AX33" s="4">
        <f t="shared" si="1"/>
        <v>0.83688572220285629</v>
      </c>
      <c r="AY33" s="4">
        <f t="shared" si="2"/>
        <v>0.65002694901487235</v>
      </c>
      <c r="AZ33" s="4">
        <f t="shared" si="3"/>
        <v>0.87425747684045307</v>
      </c>
      <c r="BA33" s="4">
        <f>INDEX(table_national_indic,MATCH($BA$1,national_indicator_data!$A$1:$A$7,0),MATCH(selected_indic_name_unadj,national_indicator_data!$A$1:$R$1,0))</f>
        <v>0</v>
      </c>
      <c r="BB33" s="4">
        <f t="shared" si="4"/>
        <v>0.40262678711843553</v>
      </c>
      <c r="BC33" s="4">
        <f t="shared" si="12"/>
        <v>0.55139661243304139</v>
      </c>
      <c r="BD33" s="4">
        <f t="shared" si="13"/>
        <v>0.36627655282583371</v>
      </c>
      <c r="BE33" s="4">
        <f t="shared" si="14"/>
        <v>0.58839229746479826</v>
      </c>
      <c r="BG33">
        <f t="shared" si="15"/>
        <v>32</v>
      </c>
      <c r="BH33">
        <f t="shared" si="5"/>
        <v>172</v>
      </c>
      <c r="BI33" s="42">
        <f t="shared" si="16"/>
        <v>0.57575756072998052</v>
      </c>
      <c r="BJ33" s="42">
        <f t="shared" si="17"/>
        <v>0.40115028517292739</v>
      </c>
      <c r="BK33" s="42">
        <f t="shared" si="18"/>
        <v>0.55289417651359407</v>
      </c>
      <c r="BL33" s="42">
        <f t="shared" si="19"/>
        <v>0.3641015380330796</v>
      </c>
      <c r="BM33" s="42">
        <f t="shared" si="20"/>
        <v>0.59061447692751912</v>
      </c>
      <c r="BN33" s="42">
        <f t="shared" si="21"/>
        <v>0.47675243377685544</v>
      </c>
    </row>
    <row r="34" spans="1:66" x14ac:dyDescent="0.25">
      <c r="A34" t="s">
        <v>182</v>
      </c>
      <c r="B34" t="s">
        <v>181</v>
      </c>
      <c r="C34" t="s">
        <v>57</v>
      </c>
      <c r="D34" t="s">
        <v>55</v>
      </c>
      <c r="E34" s="2">
        <v>352</v>
      </c>
      <c r="F34" s="2">
        <v>338</v>
      </c>
      <c r="G34" s="2">
        <v>9</v>
      </c>
      <c r="H34" s="2">
        <v>65</v>
      </c>
      <c r="I34" s="2">
        <v>65</v>
      </c>
      <c r="J34" s="2">
        <v>44</v>
      </c>
      <c r="K34" s="2">
        <v>20</v>
      </c>
      <c r="L34" s="2">
        <v>33.75</v>
      </c>
      <c r="M34" s="46" t="str">
        <f t="shared" si="6"/>
        <v>NRA*</v>
      </c>
      <c r="N34" s="2">
        <v>90.963851928710938</v>
      </c>
      <c r="O34" s="46" t="str">
        <f t="shared" si="7"/>
        <v>NRA*</v>
      </c>
      <c r="P34" s="2">
        <v>98.461540222167969</v>
      </c>
      <c r="Q34" s="46" t="str">
        <f t="shared" si="8"/>
        <v>NRA*</v>
      </c>
      <c r="R34" s="2">
        <v>46.745563507080078</v>
      </c>
      <c r="S34" s="2">
        <v>41.247035980224609</v>
      </c>
      <c r="T34" s="2"/>
      <c r="V34" s="2">
        <v>86.153846740722656</v>
      </c>
      <c r="W34" s="2">
        <v>76.372833251953125</v>
      </c>
      <c r="X34" s="2">
        <v>45</v>
      </c>
      <c r="Y34" s="2">
        <v>37.812576293945313</v>
      </c>
      <c r="Z34" s="2">
        <v>65.909088134765625</v>
      </c>
      <c r="AA34" s="2">
        <v>61.542770385742188</v>
      </c>
      <c r="AB34" s="2">
        <v>97.222221374511719</v>
      </c>
      <c r="AC34" s="46" t="str">
        <f t="shared" si="9"/>
        <v>NRA*</v>
      </c>
      <c r="AD34" s="2">
        <v>15.988371849060059</v>
      </c>
      <c r="AE34" s="2">
        <v>17.565347671508789</v>
      </c>
      <c r="AF34" s="2"/>
      <c r="AG34" s="34">
        <f t="shared" si="10"/>
        <v>352</v>
      </c>
      <c r="AH34" s="34" t="str" cm="1">
        <f t="array" ref="AH34">IF(AG34="NR**","NR**",INDEX(trust_indicator_data!$A$2:$BE$127,(ROW()-ROW(trust_indicator_data!$A$1:$BE$1)),MATCH(selected_indic_name_adj,trust_indicator_data!$A$1:$BE$1,0)))</f>
        <v>NRA*</v>
      </c>
      <c r="AI34" s="34" t="str">
        <f>IF(AG34="NR**","NR**",IF(AH34="NRA*","NRA*",RANK(AH34,AH:AH,1)+COUNTIF($AH$2:AH34,AH34)-1))</f>
        <v>NRA*</v>
      </c>
      <c r="AJ34" s="34" cm="1">
        <f t="array" ref="AJ34">IF(AG34="NR**","NR**",INDEX(trust_indicator_data!$A$2:$BE$127,(ROW()-ROW(trust_indicator_data!$A$1:$BE$1)),MATCH(selected_indic_name_unadj,trust_indicator_data!$A$1:$BE$1,0)))</f>
        <v>33.75</v>
      </c>
      <c r="AK34" s="34">
        <f>IF(AG34="NR**","NR**",RANK(trust_indicator_data!AJ34,AJ:AJ,1)+COUNTIF($AJ$2:AJ34,AJ34)-1)</f>
        <v>7</v>
      </c>
      <c r="AM34" s="34" cm="1">
        <f t="array" ref="AM34">IF(AQ34&lt;10,0,INDEX(trust_indicator_data!$A$2:$BE$127,(ROW()-ROW(trust_indicator_data!$A$1:$BE$1)),MATCH(selected_indic_name_unadj,trust_indicator_data!$A$1:$BE$1,0)))</f>
        <v>33.75</v>
      </c>
      <c r="AN34" s="34">
        <f t="shared" si="11"/>
        <v>7</v>
      </c>
      <c r="AP34" s="34">
        <f>RANK(trust_indicator_data!$AQ34,AQ:AQ,1)+COUNTIF($AQ$2:AQ34,AQ34)-1</f>
        <v>98</v>
      </c>
      <c r="AQ34" s="34" cm="1">
        <f t="array" ref="AQ34">INDEX(trust_indicator_data!$A$2:$BE$127,(ROW()-ROW(trust_indicator_data!$A$1:$BE$1)),MATCH(selected_indic_denom,trust_indicator_data!$A$1:$BE$1,0))</f>
        <v>352</v>
      </c>
      <c r="AR34" s="34" cm="1">
        <f t="array" ref="AR34">INDEX(trust_indicator_data!$A$2:$BE$127,(ROW()-ROW(trust_indicator_data!$A$1:$BE$1)),MATCH(selected_indic_name_unadj,trust_indicator_data!$A$1:$BE$1,0))/100</f>
        <v>0.33750000000000002</v>
      </c>
      <c r="AS34" s="34">
        <f>IF(AQ34&lt;10,NA(),trust_indicator_data!$AR34)</f>
        <v>0.33750000000000002</v>
      </c>
      <c r="AU34" s="34">
        <f>INDEX(table_national_indic,MATCH($AU$1,national_indicator_data!$A$1:$A$17,0),MATCH(selected_indic_name_unadj,national_indicator_data!$A$1:$R$1,0))</f>
        <v>0.47675243377685544</v>
      </c>
      <c r="AV34" s="34">
        <f>INDEX(table_national_indic,MATCH($AV$1,national_indicator_data!$A$1:$A$7,0),MATCH(selected_indic_name_unadj,national_indicator_data!$A$1:$R$1,0))</f>
        <v>0.76214221292766271</v>
      </c>
      <c r="AW34" s="34">
        <f t="shared" ref="AW34:AW65" si="22">MAX(0,$AV34-2*1/SQRT(4*$AQ34))</f>
        <v>0.7088420338387601</v>
      </c>
      <c r="AX34" s="34">
        <f t="shared" ref="AX34:AX65" si="23">MAX(0,$AV34+2*1/SQRT(4*$AQ34))</f>
        <v>0.81544239201656532</v>
      </c>
      <c r="AY34" s="34">
        <f t="shared" ref="AY34:AY65" si="24">MAX(0,$AV34-3*1/SQRT(4*$AQ34))</f>
        <v>0.68219194429430874</v>
      </c>
      <c r="AZ34" s="34">
        <f t="shared" ref="AZ34:AZ65" si="25">MAX(0,$AV34+3*1/SQRT(4*$AQ34))</f>
        <v>0.84209248156101668</v>
      </c>
      <c r="BA34" s="34">
        <f>INDEX(table_national_indic,MATCH($BA$1,national_indicator_data!$A$1:$A$7,0),MATCH(selected_indic_name_unadj,national_indicator_data!$A$1:$R$1,0))</f>
        <v>0</v>
      </c>
      <c r="BB34" s="34">
        <f t="shared" ref="BB34:BB65" si="26">IF($AQ34&lt;2,1,IF(BA34=-1,1-SIN(AW34)^2,SIN(AW34)^2))</f>
        <v>0.42374264221599484</v>
      </c>
      <c r="BC34" s="34">
        <f t="shared" si="12"/>
        <v>0.53002615215384807</v>
      </c>
      <c r="BD34" s="34">
        <f t="shared" si="13"/>
        <v>0.39752509023527571</v>
      </c>
      <c r="BE34" s="34">
        <f t="shared" si="14"/>
        <v>0.55657290992433506</v>
      </c>
      <c r="BG34">
        <f t="shared" si="15"/>
        <v>33</v>
      </c>
      <c r="BH34">
        <f t="shared" ref="BH34:BH65" si="27">IF(ISNA(VLOOKUP($BG34,$AP$2:$AS$127,2,FALSE)),$BH$1,VLOOKUP($BG34,$AP$2:$AS$127,2,FALSE))</f>
        <v>179</v>
      </c>
      <c r="BI34" s="42">
        <f t="shared" si="16"/>
        <v>0.49358974456787108</v>
      </c>
      <c r="BJ34" s="42">
        <f t="shared" si="17"/>
        <v>0.40262678711843553</v>
      </c>
      <c r="BK34" s="42">
        <f t="shared" si="18"/>
        <v>0.55139661243304139</v>
      </c>
      <c r="BL34" s="42">
        <f t="shared" si="19"/>
        <v>0.36627655282583371</v>
      </c>
      <c r="BM34" s="42">
        <f t="shared" si="20"/>
        <v>0.58839229746479826</v>
      </c>
      <c r="BN34" s="42">
        <f t="shared" si="21"/>
        <v>0.47675243377685544</v>
      </c>
    </row>
    <row r="35" spans="1:66" x14ac:dyDescent="0.25">
      <c r="A35" t="s">
        <v>226</v>
      </c>
      <c r="B35" t="s">
        <v>225</v>
      </c>
      <c r="C35" t="s">
        <v>69</v>
      </c>
      <c r="D35" t="s">
        <v>67</v>
      </c>
      <c r="E35" s="2">
        <v>278</v>
      </c>
      <c r="F35" s="2">
        <v>257</v>
      </c>
      <c r="G35" s="2">
        <v>13</v>
      </c>
      <c r="H35" s="2">
        <v>61</v>
      </c>
      <c r="I35" s="2">
        <v>69</v>
      </c>
      <c r="J35" s="2">
        <v>84</v>
      </c>
      <c r="K35" s="2">
        <v>29</v>
      </c>
      <c r="L35" s="2">
        <v>42.528736114501953</v>
      </c>
      <c r="M35" s="46" t="str">
        <f t="shared" si="6"/>
        <v>NRA*</v>
      </c>
      <c r="N35" s="2">
        <v>71.320755004882813</v>
      </c>
      <c r="O35" s="46" t="str">
        <f t="shared" si="7"/>
        <v>NRA*</v>
      </c>
      <c r="P35" s="2">
        <v>75.409835815429688</v>
      </c>
      <c r="Q35" s="46" t="str">
        <f t="shared" si="8"/>
        <v>NRA*</v>
      </c>
      <c r="R35" s="2">
        <v>21.011672973632813</v>
      </c>
      <c r="S35" s="2">
        <v>19.23246955871582</v>
      </c>
      <c r="T35" s="2">
        <v>46.153846740722656</v>
      </c>
      <c r="U35" s="4">
        <v>43.277664184570313</v>
      </c>
      <c r="V35" s="2">
        <v>72.463768005371094</v>
      </c>
      <c r="W35" s="2">
        <v>76.916412353515625</v>
      </c>
      <c r="X35" s="2">
        <v>58.620689392089844</v>
      </c>
      <c r="Y35" s="2">
        <v>61.025718688964844</v>
      </c>
      <c r="Z35" s="2">
        <v>66.666664123535156</v>
      </c>
      <c r="AA35" s="2">
        <v>68.553359985351563</v>
      </c>
      <c r="AB35" s="2">
        <v>94.300521850585938</v>
      </c>
      <c r="AC35" s="46" t="str">
        <f t="shared" si="9"/>
        <v>NRA*</v>
      </c>
      <c r="AD35" s="2">
        <v>37.037036895751953</v>
      </c>
      <c r="AE35" s="2">
        <v>44.157859802246094</v>
      </c>
      <c r="AF35" s="2"/>
      <c r="AG35" s="4">
        <f t="shared" si="10"/>
        <v>278</v>
      </c>
      <c r="AH35" s="4" t="str" cm="1">
        <f t="array" ref="AH35">IF(AG35="NR**","NR**",INDEX(trust_indicator_data!$A$2:$BE$127,(ROW()-ROW(trust_indicator_data!$A$1:$BE$1)),MATCH(selected_indic_name_adj,trust_indicator_data!$A$1:$BE$1,0)))</f>
        <v>NRA*</v>
      </c>
      <c r="AI35" s="4" t="str">
        <f>IF(AG35="NR**","NR**",IF(AH35="NRA*","NRA*",RANK(AH35,AH:AH,1)+COUNTIF($AH$2:AH35,AH35)-1))</f>
        <v>NRA*</v>
      </c>
      <c r="AJ35" s="4" cm="1">
        <f t="array" ref="AJ35">IF(AG35="NR**","NR**",INDEX(trust_indicator_data!$A$2:$BE$127,(ROW()-ROW(trust_indicator_data!$A$1:$BE$1)),MATCH(selected_indic_name_unadj,trust_indicator_data!$A$1:$BE$1,0)))</f>
        <v>42.528736114501953</v>
      </c>
      <c r="AK35" s="4">
        <f>IF(AG35="NR**","NR**",RANK(trust_indicator_data!AJ35,AJ:AJ,1)+COUNTIF($AJ$2:AJ35,AJ35)-1)</f>
        <v>25</v>
      </c>
      <c r="AM35" s="4" cm="1">
        <f t="array" ref="AM35">IF(AQ35&lt;10,0,INDEX(trust_indicator_data!$A$2:$BE$127,(ROW()-ROW(trust_indicator_data!$A$1:$BE$1)),MATCH(selected_indic_name_unadj,trust_indicator_data!$A$1:$BE$1,0)))</f>
        <v>42.528736114501953</v>
      </c>
      <c r="AN35" s="4">
        <f t="shared" si="11"/>
        <v>25</v>
      </c>
      <c r="AP35" s="4">
        <f>RANK(trust_indicator_data!$AQ35,AQ:AQ,1)+COUNTIF($AQ$2:AQ35,AQ35)-1</f>
        <v>79</v>
      </c>
      <c r="AQ35" s="4" cm="1">
        <f t="array" ref="AQ35">INDEX(trust_indicator_data!$A$2:$BE$127,(ROW()-ROW(trust_indicator_data!$A$1:$BE$1)),MATCH(selected_indic_denom,trust_indicator_data!$A$1:$BE$1,0))</f>
        <v>278</v>
      </c>
      <c r="AR35" s="4" cm="1">
        <f t="array" ref="AR35">INDEX(trust_indicator_data!$A$2:$BE$127,(ROW()-ROW(trust_indicator_data!$A$1:$BE$1)),MATCH(selected_indic_name_unadj,trust_indicator_data!$A$1:$BE$1,0))/100</f>
        <v>0.42528736114501953</v>
      </c>
      <c r="AS35" s="4">
        <f>IF(AQ35&lt;10,NA(),trust_indicator_data!$AR35)</f>
        <v>0.42528736114501953</v>
      </c>
      <c r="AU35" s="4">
        <f>INDEX(table_national_indic,MATCH($AU$1,national_indicator_data!$A$1:$A$17,0),MATCH(selected_indic_name_unadj,national_indicator_data!$A$1:$R$1,0))</f>
        <v>0.47675243377685544</v>
      </c>
      <c r="AV35" s="4">
        <f>INDEX(table_national_indic,MATCH($AV$1,national_indicator_data!$A$1:$A$7,0),MATCH(selected_indic_name_unadj,national_indicator_data!$A$1:$R$1,0))</f>
        <v>0.76214221292766271</v>
      </c>
      <c r="AW35" s="4">
        <f t="shared" si="22"/>
        <v>0.70216619853725604</v>
      </c>
      <c r="AX35" s="4">
        <f t="shared" si="23"/>
        <v>0.82211822731806938</v>
      </c>
      <c r="AY35" s="4">
        <f t="shared" si="24"/>
        <v>0.67217819134205259</v>
      </c>
      <c r="AZ35" s="4">
        <f t="shared" si="25"/>
        <v>0.85210623451327283</v>
      </c>
      <c r="BA35" s="4">
        <f>INDEX(table_national_indic,MATCH($BA$1,national_indicator_data!$A$1:$A$7,0),MATCH(selected_indic_name_unadj,national_indicator_data!$A$1:$R$1,0))</f>
        <v>0</v>
      </c>
      <c r="BB35" s="4">
        <f t="shared" si="26"/>
        <v>0.41715189919096646</v>
      </c>
      <c r="BC35" s="4">
        <f t="shared" si="12"/>
        <v>0.53668706483482009</v>
      </c>
      <c r="BD35" s="4">
        <f t="shared" si="13"/>
        <v>0.38774511030914538</v>
      </c>
      <c r="BE35" s="4">
        <f t="shared" si="14"/>
        <v>0.56651034803774014</v>
      </c>
      <c r="BG35">
        <f t="shared" ref="BG35:BG66" si="28">BG34+1</f>
        <v>34</v>
      </c>
      <c r="BH35">
        <f t="shared" si="27"/>
        <v>179</v>
      </c>
      <c r="BI35" s="42">
        <f t="shared" si="16"/>
        <v>0.50735294342041015</v>
      </c>
      <c r="BJ35" s="42">
        <f t="shared" si="17"/>
        <v>0.40262678711843553</v>
      </c>
      <c r="BK35" s="42">
        <f t="shared" si="18"/>
        <v>0.55139661243304139</v>
      </c>
      <c r="BL35" s="42">
        <f t="shared" si="19"/>
        <v>0.36627655282583371</v>
      </c>
      <c r="BM35" s="42">
        <f t="shared" si="20"/>
        <v>0.58839229746479826</v>
      </c>
      <c r="BN35" s="42">
        <f t="shared" si="21"/>
        <v>0.47675243377685544</v>
      </c>
    </row>
    <row r="36" spans="1:66" x14ac:dyDescent="0.25">
      <c r="A36" t="s">
        <v>132</v>
      </c>
      <c r="B36" t="s">
        <v>131</v>
      </c>
      <c r="C36" t="s">
        <v>33</v>
      </c>
      <c r="D36" t="s">
        <v>31</v>
      </c>
      <c r="E36" s="2">
        <v>132</v>
      </c>
      <c r="F36" s="2">
        <v>121</v>
      </c>
      <c r="G36" s="2">
        <v>9</v>
      </c>
      <c r="H36" s="2">
        <v>14</v>
      </c>
      <c r="I36" s="2">
        <v>17</v>
      </c>
      <c r="J36" s="2">
        <v>26</v>
      </c>
      <c r="K36" s="2">
        <v>6</v>
      </c>
      <c r="L36" s="2">
        <v>62.962963104248047</v>
      </c>
      <c r="M36" s="46" t="str">
        <f t="shared" si="6"/>
        <v>NRA*</v>
      </c>
      <c r="N36" s="2">
        <v>53.763439178466797</v>
      </c>
      <c r="O36" s="46" t="str">
        <f t="shared" si="7"/>
        <v>NRA*</v>
      </c>
      <c r="P36" s="2">
        <v>100</v>
      </c>
      <c r="Q36" s="46" t="str">
        <f t="shared" si="8"/>
        <v>NRA*</v>
      </c>
      <c r="R36" s="2">
        <v>11.570247650146484</v>
      </c>
      <c r="S36" s="2">
        <v>11.895956993103027</v>
      </c>
      <c r="T36" s="2"/>
      <c r="V36" s="2">
        <v>82.352943420410156</v>
      </c>
      <c r="W36" s="2">
        <v>75.308357238769531</v>
      </c>
      <c r="X36" s="2"/>
      <c r="Y36" s="2"/>
      <c r="Z36" s="2">
        <v>65.384613037109375</v>
      </c>
      <c r="AA36" s="2">
        <v>60.855319976806641</v>
      </c>
      <c r="AB36" s="2">
        <v>97.647056579589844</v>
      </c>
      <c r="AC36" s="46" t="str">
        <f t="shared" si="9"/>
        <v>NRA*</v>
      </c>
      <c r="AD36" s="2">
        <v>40.458015441894531</v>
      </c>
      <c r="AE36" s="2">
        <v>55.516822814941406</v>
      </c>
      <c r="AF36" s="2"/>
      <c r="AG36" s="34">
        <f t="shared" si="10"/>
        <v>132</v>
      </c>
      <c r="AH36" s="34" t="str" cm="1">
        <f t="array" ref="AH36">IF(AG36="NR**","NR**",INDEX(trust_indicator_data!$A$2:$BE$127,(ROW()-ROW(trust_indicator_data!$A$1:$BE$1)),MATCH(selected_indic_name_adj,trust_indicator_data!$A$1:$BE$1,0)))</f>
        <v>NRA*</v>
      </c>
      <c r="AI36" s="34" t="str">
        <f>IF(AG36="NR**","NR**",IF(AH36="NRA*","NRA*",RANK(AH36,AH:AH,1)+COUNTIF($AH$2:AH36,AH36)-1))</f>
        <v>NRA*</v>
      </c>
      <c r="AJ36" s="34" cm="1">
        <f t="array" ref="AJ36">IF(AG36="NR**","NR**",INDEX(trust_indicator_data!$A$2:$BE$127,(ROW()-ROW(trust_indicator_data!$A$1:$BE$1)),MATCH(selected_indic_name_unadj,trust_indicator_data!$A$1:$BE$1,0)))</f>
        <v>62.962963104248047</v>
      </c>
      <c r="AK36" s="34">
        <f>IF(AG36="NR**","NR**",RANK(trust_indicator_data!AJ36,AJ:AJ,1)+COUNTIF($AJ$2:AJ36,AJ36)-1)</f>
        <v>122</v>
      </c>
      <c r="AM36" s="34" cm="1">
        <f t="array" ref="AM36">IF(AQ36&lt;10,0,INDEX(trust_indicator_data!$A$2:$BE$127,(ROW()-ROW(trust_indicator_data!$A$1:$BE$1)),MATCH(selected_indic_name_unadj,trust_indicator_data!$A$1:$BE$1,0)))</f>
        <v>62.962963104248047</v>
      </c>
      <c r="AN36" s="34">
        <f t="shared" si="11"/>
        <v>122</v>
      </c>
      <c r="AP36" s="34">
        <f>RANK(trust_indicator_data!$AQ36,AQ:AQ,1)+COUNTIF($AQ$2:AQ36,AQ36)-1</f>
        <v>21</v>
      </c>
      <c r="AQ36" s="34" cm="1">
        <f t="array" ref="AQ36">INDEX(trust_indicator_data!$A$2:$BE$127,(ROW()-ROW(trust_indicator_data!$A$1:$BE$1)),MATCH(selected_indic_denom,trust_indicator_data!$A$1:$BE$1,0))</f>
        <v>132</v>
      </c>
      <c r="AR36" s="34" cm="1">
        <f t="array" ref="AR36">INDEX(trust_indicator_data!$A$2:$BE$127,(ROW()-ROW(trust_indicator_data!$A$1:$BE$1)),MATCH(selected_indic_name_unadj,trust_indicator_data!$A$1:$BE$1,0))/100</f>
        <v>0.62962963104248049</v>
      </c>
      <c r="AS36" s="34">
        <f>IF(AQ36&lt;10,NA(),trust_indicator_data!$AR36)</f>
        <v>0.62962963104248049</v>
      </c>
      <c r="AU36" s="34">
        <f>INDEX(table_national_indic,MATCH($AU$1,national_indicator_data!$A$1:$A$17,0),MATCH(selected_indic_name_unadj,national_indicator_data!$A$1:$R$1,0))</f>
        <v>0.47675243377685544</v>
      </c>
      <c r="AV36" s="34">
        <f>INDEX(table_national_indic,MATCH($AV$1,national_indicator_data!$A$1:$A$7,0),MATCH(selected_indic_name_unadj,national_indicator_data!$A$1:$R$1,0))</f>
        <v>0.76214221292766271</v>
      </c>
      <c r="AW36" s="34">
        <f t="shared" si="22"/>
        <v>0.67510338494981381</v>
      </c>
      <c r="AX36" s="34">
        <f t="shared" si="23"/>
        <v>0.84918104090551161</v>
      </c>
      <c r="AY36" s="34">
        <f t="shared" si="24"/>
        <v>0.63158397096088936</v>
      </c>
      <c r="AZ36" s="34">
        <f t="shared" si="25"/>
        <v>0.89270045489443606</v>
      </c>
      <c r="BA36" s="34">
        <f>INDEX(table_national_indic,MATCH($BA$1,national_indicator_data!$A$1:$A$7,0),MATCH(selected_indic_name_unadj,national_indicator_data!$A$1:$R$1,0))</f>
        <v>0</v>
      </c>
      <c r="BB36" s="34">
        <f t="shared" si="26"/>
        <v>0.39059753390398311</v>
      </c>
      <c r="BC36" s="34">
        <f t="shared" si="12"/>
        <v>0.5636100281804769</v>
      </c>
      <c r="BD36" s="34">
        <f t="shared" si="13"/>
        <v>0.34860039402456805</v>
      </c>
      <c r="BE36" s="34">
        <f t="shared" si="14"/>
        <v>0.60648054927558448</v>
      </c>
      <c r="BG36">
        <f t="shared" si="28"/>
        <v>35</v>
      </c>
      <c r="BH36">
        <f t="shared" si="27"/>
        <v>184</v>
      </c>
      <c r="BI36" s="42">
        <f t="shared" si="16"/>
        <v>0.42857143402099607</v>
      </c>
      <c r="BJ36" s="42">
        <f t="shared" si="17"/>
        <v>0.40362994347017633</v>
      </c>
      <c r="BK36" s="42">
        <f t="shared" si="18"/>
        <v>0.55037939107425893</v>
      </c>
      <c r="BL36" s="42">
        <f t="shared" si="19"/>
        <v>0.36775510425473351</v>
      </c>
      <c r="BM36" s="42">
        <f t="shared" si="20"/>
        <v>0.58688224511076093</v>
      </c>
      <c r="BN36" s="42">
        <f t="shared" si="21"/>
        <v>0.47675243377685544</v>
      </c>
    </row>
    <row r="37" spans="1:66" x14ac:dyDescent="0.25">
      <c r="A37" t="s">
        <v>250</v>
      </c>
      <c r="B37" t="s">
        <v>249</v>
      </c>
      <c r="C37" t="s">
        <v>45</v>
      </c>
      <c r="D37" t="s">
        <v>43</v>
      </c>
      <c r="E37" s="2">
        <v>115</v>
      </c>
      <c r="F37" s="2">
        <v>105</v>
      </c>
      <c r="G37" s="2">
        <v>5</v>
      </c>
      <c r="H37" s="2">
        <v>25</v>
      </c>
      <c r="I37" s="2">
        <v>27</v>
      </c>
      <c r="J37" s="2">
        <v>13</v>
      </c>
      <c r="K37" s="2">
        <v>4</v>
      </c>
      <c r="L37" s="2">
        <v>39.795917510986328</v>
      </c>
      <c r="M37" s="46" t="str">
        <f t="shared" si="6"/>
        <v>NRA*</v>
      </c>
      <c r="N37" s="2">
        <v>62.025318145751953</v>
      </c>
      <c r="O37" s="46" t="str">
        <f t="shared" si="7"/>
        <v>NRA*</v>
      </c>
      <c r="P37" s="2">
        <v>84</v>
      </c>
      <c r="Q37" s="46" t="str">
        <f t="shared" si="8"/>
        <v>NRA*</v>
      </c>
      <c r="R37" s="2">
        <v>40</v>
      </c>
      <c r="S37" s="2">
        <v>29.397195816040039</v>
      </c>
      <c r="T37" s="2"/>
      <c r="V37" s="2">
        <v>92.59259033203125</v>
      </c>
      <c r="W37" s="2">
        <v>87.318405151367188</v>
      </c>
      <c r="X37" s="2"/>
      <c r="Y37" s="2"/>
      <c r="Z37" s="2">
        <v>69.230766296386719</v>
      </c>
      <c r="AA37" s="2">
        <v>72.15777587890625</v>
      </c>
      <c r="AB37" s="2">
        <v>84.126983642578125</v>
      </c>
      <c r="AC37" s="46" t="str">
        <f t="shared" si="9"/>
        <v>NRA*</v>
      </c>
      <c r="AD37" s="2">
        <v>31.578947067260742</v>
      </c>
      <c r="AE37" s="2">
        <v>34.460433959960938</v>
      </c>
      <c r="AF37" s="2"/>
      <c r="AG37" s="4">
        <f t="shared" si="10"/>
        <v>115</v>
      </c>
      <c r="AH37" s="4" t="str" cm="1">
        <f t="array" ref="AH37">IF(AG37="NR**","NR**",INDEX(trust_indicator_data!$A$2:$BE$127,(ROW()-ROW(trust_indicator_data!$A$1:$BE$1)),MATCH(selected_indic_name_adj,trust_indicator_data!$A$1:$BE$1,0)))</f>
        <v>NRA*</v>
      </c>
      <c r="AI37" s="4" t="str">
        <f>IF(AG37="NR**","NR**",IF(AH37="NRA*","NRA*",RANK(AH37,AH:AH,1)+COUNTIF($AH$2:AH37,AH37)-1))</f>
        <v>NRA*</v>
      </c>
      <c r="AJ37" s="4" cm="1">
        <f t="array" ref="AJ37">IF(AG37="NR**","NR**",INDEX(trust_indicator_data!$A$2:$BE$127,(ROW()-ROW(trust_indicator_data!$A$1:$BE$1)),MATCH(selected_indic_name_unadj,trust_indicator_data!$A$1:$BE$1,0)))</f>
        <v>39.795917510986328</v>
      </c>
      <c r="AK37" s="4">
        <f>IF(AG37="NR**","NR**",RANK(trust_indicator_data!AJ37,AJ:AJ,1)+COUNTIF($AJ$2:AJ37,AJ37)-1)</f>
        <v>17</v>
      </c>
      <c r="AM37" s="4" cm="1">
        <f t="array" ref="AM37">IF(AQ37&lt;10,0,INDEX(trust_indicator_data!$A$2:$BE$127,(ROW()-ROW(trust_indicator_data!$A$1:$BE$1)),MATCH(selected_indic_name_unadj,trust_indicator_data!$A$1:$BE$1,0)))</f>
        <v>39.795917510986328</v>
      </c>
      <c r="AN37" s="4">
        <f t="shared" si="11"/>
        <v>17</v>
      </c>
      <c r="AP37" s="4">
        <f>RANK(trust_indicator_data!$AQ37,AQ:AQ,1)+COUNTIF($AQ$2:AQ37,AQ37)-1</f>
        <v>13</v>
      </c>
      <c r="AQ37" s="4" cm="1">
        <f t="array" ref="AQ37">INDEX(trust_indicator_data!$A$2:$BE$127,(ROW()-ROW(trust_indicator_data!$A$1:$BE$1)),MATCH(selected_indic_denom,trust_indicator_data!$A$1:$BE$1,0))</f>
        <v>115</v>
      </c>
      <c r="AR37" s="4" cm="1">
        <f t="array" ref="AR37">INDEX(trust_indicator_data!$A$2:$BE$127,(ROW()-ROW(trust_indicator_data!$A$1:$BE$1)),MATCH(selected_indic_name_unadj,trust_indicator_data!$A$1:$BE$1,0))/100</f>
        <v>0.39795917510986328</v>
      </c>
      <c r="AS37" s="4">
        <f>IF(AQ37&lt;10,NA(),trust_indicator_data!$AR37)</f>
        <v>0.39795917510986328</v>
      </c>
      <c r="AU37" s="4">
        <f>INDEX(table_national_indic,MATCH($AU$1,national_indicator_data!$A$1:$A$17,0),MATCH(selected_indic_name_unadj,national_indicator_data!$A$1:$R$1,0))</f>
        <v>0.47675243377685544</v>
      </c>
      <c r="AV37" s="4">
        <f>INDEX(table_national_indic,MATCH($AV$1,national_indicator_data!$A$1:$A$7,0),MATCH(selected_indic_name_unadj,national_indicator_data!$A$1:$R$1,0))</f>
        <v>0.76214221292766271</v>
      </c>
      <c r="AW37" s="4">
        <f t="shared" si="22"/>
        <v>0.66889173210363129</v>
      </c>
      <c r="AX37" s="4">
        <f t="shared" si="23"/>
        <v>0.85539269375169413</v>
      </c>
      <c r="AY37" s="4">
        <f t="shared" si="24"/>
        <v>0.62226649169161563</v>
      </c>
      <c r="AZ37" s="4">
        <f t="shared" si="25"/>
        <v>0.90201793416370979</v>
      </c>
      <c r="BA37" s="4">
        <f>INDEX(table_national_indic,MATCH($BA$1,national_indicator_data!$A$1:$A$7,0),MATCH(selected_indic_name_unadj,national_indicator_data!$A$1:$R$1,0))</f>
        <v>0</v>
      </c>
      <c r="BB37" s="4">
        <f t="shared" si="26"/>
        <v>0.38454499628131722</v>
      </c>
      <c r="BC37" s="4">
        <f t="shared" si="12"/>
        <v>0.56976614118722435</v>
      </c>
      <c r="BD37" s="4">
        <f t="shared" si="13"/>
        <v>0.33974713048695221</v>
      </c>
      <c r="BE37" s="4">
        <f t="shared" si="14"/>
        <v>0.61556527723739585</v>
      </c>
      <c r="BG37">
        <f t="shared" si="28"/>
        <v>36</v>
      </c>
      <c r="BH37">
        <f t="shared" si="27"/>
        <v>184</v>
      </c>
      <c r="BI37" s="42">
        <f t="shared" si="16"/>
        <v>0.41714286804199219</v>
      </c>
      <c r="BJ37" s="42">
        <f t="shared" si="17"/>
        <v>0.40362994347017633</v>
      </c>
      <c r="BK37" s="42">
        <f t="shared" si="18"/>
        <v>0.55037939107425893</v>
      </c>
      <c r="BL37" s="42">
        <f t="shared" si="19"/>
        <v>0.36775510425473351</v>
      </c>
      <c r="BM37" s="42">
        <f t="shared" si="20"/>
        <v>0.58688224511076093</v>
      </c>
      <c r="BN37" s="42">
        <f t="shared" si="21"/>
        <v>0.47675243377685544</v>
      </c>
    </row>
    <row r="38" spans="1:66" x14ac:dyDescent="0.25">
      <c r="A38" t="s">
        <v>290</v>
      </c>
      <c r="B38" t="s">
        <v>289</v>
      </c>
      <c r="C38" t="s">
        <v>33</v>
      </c>
      <c r="D38" t="s">
        <v>31</v>
      </c>
      <c r="E38" s="2">
        <v>464</v>
      </c>
      <c r="F38" s="2">
        <v>437</v>
      </c>
      <c r="G38" s="2">
        <v>24</v>
      </c>
      <c r="H38" s="2">
        <v>105</v>
      </c>
      <c r="I38" s="2">
        <v>132</v>
      </c>
      <c r="J38" s="2">
        <v>66</v>
      </c>
      <c r="K38" s="2">
        <v>44</v>
      </c>
      <c r="L38" s="2">
        <v>37.469585418701172</v>
      </c>
      <c r="M38" s="46" t="str">
        <f t="shared" si="6"/>
        <v>NRA*</v>
      </c>
      <c r="N38" s="2">
        <v>55.023921966552734</v>
      </c>
      <c r="O38" s="46" t="str">
        <f t="shared" si="7"/>
        <v>NRA*</v>
      </c>
      <c r="P38" s="2">
        <v>70.476188659667969</v>
      </c>
      <c r="Q38" s="46" t="str">
        <f t="shared" si="8"/>
        <v>NRA*</v>
      </c>
      <c r="R38" s="2">
        <v>18.993135452270508</v>
      </c>
      <c r="S38" s="2">
        <v>16.543344497680664</v>
      </c>
      <c r="T38" s="2">
        <v>54.166667938232422</v>
      </c>
      <c r="U38" s="4">
        <v>54.076866149902344</v>
      </c>
      <c r="V38" s="2">
        <v>81.818183898925781</v>
      </c>
      <c r="W38" s="2">
        <v>86.937271118164063</v>
      </c>
      <c r="X38" s="2">
        <v>52.272727966308594</v>
      </c>
      <c r="Y38" s="2">
        <v>50.557281494140625</v>
      </c>
      <c r="Z38" s="2">
        <v>48.484848022460938</v>
      </c>
      <c r="AA38" s="2">
        <v>53.113735198974609</v>
      </c>
      <c r="AB38" s="2">
        <v>86.013984680175781</v>
      </c>
      <c r="AC38" s="46" t="str">
        <f t="shared" si="9"/>
        <v>NRA*</v>
      </c>
      <c r="AD38" s="2">
        <v>39.420936584472656</v>
      </c>
      <c r="AE38" s="2">
        <v>38.219802856445313</v>
      </c>
      <c r="AF38" s="2"/>
      <c r="AG38" s="34">
        <f t="shared" si="10"/>
        <v>464</v>
      </c>
      <c r="AH38" s="34" t="str" cm="1">
        <f t="array" ref="AH38">IF(AG38="NR**","NR**",INDEX(trust_indicator_data!$A$2:$BE$127,(ROW()-ROW(trust_indicator_data!$A$1:$BE$1)),MATCH(selected_indic_name_adj,trust_indicator_data!$A$1:$BE$1,0)))</f>
        <v>NRA*</v>
      </c>
      <c r="AI38" s="34" t="str">
        <f>IF(AG38="NR**","NR**",IF(AH38="NRA*","NRA*",RANK(AH38,AH:AH,1)+COUNTIF($AH$2:AH38,AH38)-1))</f>
        <v>NRA*</v>
      </c>
      <c r="AJ38" s="34" cm="1">
        <f t="array" ref="AJ38">IF(AG38="NR**","NR**",INDEX(trust_indicator_data!$A$2:$BE$127,(ROW()-ROW(trust_indicator_data!$A$1:$BE$1)),MATCH(selected_indic_name_unadj,trust_indicator_data!$A$1:$BE$1,0)))</f>
        <v>37.469585418701172</v>
      </c>
      <c r="AK38" s="34">
        <f>IF(AG38="NR**","NR**",RANK(trust_indicator_data!AJ38,AJ:AJ,1)+COUNTIF($AJ$2:AJ38,AJ38)-1)</f>
        <v>12</v>
      </c>
      <c r="AM38" s="34" cm="1">
        <f t="array" ref="AM38">IF(AQ38&lt;10,0,INDEX(trust_indicator_data!$A$2:$BE$127,(ROW()-ROW(trust_indicator_data!$A$1:$BE$1)),MATCH(selected_indic_name_unadj,trust_indicator_data!$A$1:$BE$1,0)))</f>
        <v>37.469585418701172</v>
      </c>
      <c r="AN38" s="34">
        <f t="shared" si="11"/>
        <v>12</v>
      </c>
      <c r="AP38" s="34">
        <f>RANK(trust_indicator_data!$AQ38,AQ:AQ,1)+COUNTIF($AQ$2:AQ38,AQ38)-1</f>
        <v>115</v>
      </c>
      <c r="AQ38" s="34" cm="1">
        <f t="array" ref="AQ38">INDEX(trust_indicator_data!$A$2:$BE$127,(ROW()-ROW(trust_indicator_data!$A$1:$BE$1)),MATCH(selected_indic_denom,trust_indicator_data!$A$1:$BE$1,0))</f>
        <v>464</v>
      </c>
      <c r="AR38" s="34" cm="1">
        <f t="array" ref="AR38">INDEX(trust_indicator_data!$A$2:$BE$127,(ROW()-ROW(trust_indicator_data!$A$1:$BE$1)),MATCH(selected_indic_name_unadj,trust_indicator_data!$A$1:$BE$1,0))/100</f>
        <v>0.37469585418701173</v>
      </c>
      <c r="AS38" s="34">
        <f>IF(AQ38&lt;10,NA(),trust_indicator_data!$AR38)</f>
        <v>0.37469585418701173</v>
      </c>
      <c r="AU38" s="34">
        <f>INDEX(table_national_indic,MATCH($AU$1,national_indicator_data!$A$1:$A$17,0),MATCH(selected_indic_name_unadj,national_indicator_data!$A$1:$R$1,0))</f>
        <v>0.47675243377685544</v>
      </c>
      <c r="AV38" s="34">
        <f>INDEX(table_national_indic,MATCH($AV$1,national_indicator_data!$A$1:$A$7,0),MATCH(selected_indic_name_unadj,national_indicator_data!$A$1:$R$1,0))</f>
        <v>0.76214221292766271</v>
      </c>
      <c r="AW38" s="34">
        <f t="shared" si="22"/>
        <v>0.7157183783833998</v>
      </c>
      <c r="AX38" s="34">
        <f t="shared" si="23"/>
        <v>0.80856604747192562</v>
      </c>
      <c r="AY38" s="34">
        <f t="shared" si="24"/>
        <v>0.69250646111126823</v>
      </c>
      <c r="AZ38" s="34">
        <f t="shared" si="25"/>
        <v>0.83177796474405719</v>
      </c>
      <c r="BA38" s="34">
        <f>INDEX(table_national_indic,MATCH($BA$1,national_indicator_data!$A$1:$A$7,0),MATCH(selected_indic_name_unadj,national_indicator_data!$A$1:$R$1,0))</f>
        <v>0</v>
      </c>
      <c r="BB38" s="34">
        <f t="shared" si="26"/>
        <v>0.43054553896594339</v>
      </c>
      <c r="BC38" s="34">
        <f t="shared" si="12"/>
        <v>0.52315959471004048</v>
      </c>
      <c r="BD38" s="34">
        <f t="shared" si="13"/>
        <v>0.40764174312186113</v>
      </c>
      <c r="BE38" s="34">
        <f t="shared" si="14"/>
        <v>0.54631331866164623</v>
      </c>
      <c r="BG38">
        <f t="shared" si="28"/>
        <v>37</v>
      </c>
      <c r="BH38">
        <f t="shared" si="27"/>
        <v>185</v>
      </c>
      <c r="BI38" s="42">
        <f t="shared" si="16"/>
        <v>0.54605262756347661</v>
      </c>
      <c r="BJ38" s="42">
        <f t="shared" si="17"/>
        <v>0.40382572605095712</v>
      </c>
      <c r="BK38" s="42">
        <f t="shared" si="18"/>
        <v>0.5501808865599207</v>
      </c>
      <c r="BL38" s="42">
        <f t="shared" si="19"/>
        <v>0.3680437441351167</v>
      </c>
      <c r="BM38" s="42">
        <f t="shared" si="20"/>
        <v>0.5865875085445309</v>
      </c>
      <c r="BN38" s="42">
        <f t="shared" si="21"/>
        <v>0.47675243377685544</v>
      </c>
    </row>
    <row r="39" spans="1:66" x14ac:dyDescent="0.25">
      <c r="A39" t="s">
        <v>330</v>
      </c>
      <c r="B39" t="s">
        <v>329</v>
      </c>
      <c r="C39" t="s">
        <v>512</v>
      </c>
      <c r="D39" t="s">
        <v>70</v>
      </c>
      <c r="E39" s="2">
        <v>264</v>
      </c>
      <c r="F39" s="2">
        <v>240</v>
      </c>
      <c r="G39" s="2">
        <v>21</v>
      </c>
      <c r="H39" s="2">
        <v>63</v>
      </c>
      <c r="I39" s="2">
        <v>66</v>
      </c>
      <c r="J39" s="2">
        <v>58</v>
      </c>
      <c r="K39" s="2">
        <v>20</v>
      </c>
      <c r="L39" s="2">
        <v>43.032787322998047</v>
      </c>
      <c r="M39" s="46" t="str">
        <f t="shared" si="6"/>
        <v>NRA*</v>
      </c>
      <c r="N39" s="2">
        <v>65.665237426757813</v>
      </c>
      <c r="O39" s="46" t="str">
        <f t="shared" si="7"/>
        <v>NRA*</v>
      </c>
      <c r="P39" s="2">
        <v>87.301589965820313</v>
      </c>
      <c r="Q39" s="46" t="str">
        <f t="shared" si="8"/>
        <v>NRA*</v>
      </c>
      <c r="R39" s="2">
        <v>24.166666030883789</v>
      </c>
      <c r="S39" s="2">
        <v>18.415267944335938</v>
      </c>
      <c r="T39" s="2">
        <v>61.904762268066406</v>
      </c>
      <c r="U39" s="4">
        <v>56.889858245849609</v>
      </c>
      <c r="V39" s="2">
        <v>74.242424011230469</v>
      </c>
      <c r="W39" s="2">
        <v>72.738609313964844</v>
      </c>
      <c r="X39" s="2">
        <v>65</v>
      </c>
      <c r="Y39" s="2">
        <v>67.924835205078125</v>
      </c>
      <c r="Z39" s="2">
        <v>48.275863647460938</v>
      </c>
      <c r="AA39" s="2">
        <v>47.103679656982422</v>
      </c>
      <c r="AB39" s="2">
        <v>100</v>
      </c>
      <c r="AC39" s="46" t="str">
        <f t="shared" si="9"/>
        <v>NRA*</v>
      </c>
      <c r="AD39" s="2">
        <v>41.923076629638672</v>
      </c>
      <c r="AE39" s="2">
        <v>43.665172576904297</v>
      </c>
      <c r="AF39" s="2"/>
      <c r="AG39" s="4">
        <f t="shared" si="10"/>
        <v>264</v>
      </c>
      <c r="AH39" s="4" t="str" cm="1">
        <f t="array" ref="AH39">IF(AG39="NR**","NR**",INDEX(trust_indicator_data!$A$2:$BE$127,(ROW()-ROW(trust_indicator_data!$A$1:$BE$1)),MATCH(selected_indic_name_adj,trust_indicator_data!$A$1:$BE$1,0)))</f>
        <v>NRA*</v>
      </c>
      <c r="AI39" s="4" t="str">
        <f>IF(AG39="NR**","NR**",IF(AH39="NRA*","NRA*",RANK(AH39,AH:AH,1)+COUNTIF($AH$2:AH39,AH39)-1))</f>
        <v>NRA*</v>
      </c>
      <c r="AJ39" s="4" cm="1">
        <f t="array" ref="AJ39">IF(AG39="NR**","NR**",INDEX(trust_indicator_data!$A$2:$BE$127,(ROW()-ROW(trust_indicator_data!$A$1:$BE$1)),MATCH(selected_indic_name_unadj,trust_indicator_data!$A$1:$BE$1,0)))</f>
        <v>43.032787322998047</v>
      </c>
      <c r="AK39" s="4">
        <f>IF(AG39="NR**","NR**",RANK(trust_indicator_data!AJ39,AJ:AJ,1)+COUNTIF($AJ$2:AJ39,AJ39)-1)</f>
        <v>28</v>
      </c>
      <c r="AM39" s="4" cm="1">
        <f t="array" ref="AM39">IF(AQ39&lt;10,0,INDEX(trust_indicator_data!$A$2:$BE$127,(ROW()-ROW(trust_indicator_data!$A$1:$BE$1)),MATCH(selected_indic_name_unadj,trust_indicator_data!$A$1:$BE$1,0)))</f>
        <v>43.032787322998047</v>
      </c>
      <c r="AN39" s="4">
        <f t="shared" si="11"/>
        <v>28</v>
      </c>
      <c r="AP39" s="4">
        <f>RANK(trust_indicator_data!$AQ39,AQ:AQ,1)+COUNTIF($AQ$2:AQ39,AQ39)-1</f>
        <v>75</v>
      </c>
      <c r="AQ39" s="4" cm="1">
        <f t="array" ref="AQ39">INDEX(trust_indicator_data!$A$2:$BE$127,(ROW()-ROW(trust_indicator_data!$A$1:$BE$1)),MATCH(selected_indic_denom,trust_indicator_data!$A$1:$BE$1,0))</f>
        <v>264</v>
      </c>
      <c r="AR39" s="4" cm="1">
        <f t="array" ref="AR39">INDEX(trust_indicator_data!$A$2:$BE$127,(ROW()-ROW(trust_indicator_data!$A$1:$BE$1)),MATCH(selected_indic_name_unadj,trust_indicator_data!$A$1:$BE$1,0))/100</f>
        <v>0.43032787322998045</v>
      </c>
      <c r="AS39" s="4">
        <f>IF(AQ39&lt;10,NA(),trust_indicator_data!$AR39)</f>
        <v>0.43032787322998045</v>
      </c>
      <c r="AU39" s="4">
        <f>INDEX(table_national_indic,MATCH($AU$1,national_indicator_data!$A$1:$A$17,0),MATCH(selected_indic_name_unadj,national_indicator_data!$A$1:$R$1,0))</f>
        <v>0.47675243377685544</v>
      </c>
      <c r="AV39" s="4">
        <f>INDEX(table_national_indic,MATCH($AV$1,national_indicator_data!$A$1:$A$7,0),MATCH(selected_indic_name_unadj,national_indicator_data!$A$1:$R$1,0))</f>
        <v>0.76214221292766271</v>
      </c>
      <c r="AW39" s="4">
        <f t="shared" si="22"/>
        <v>0.70059646743799631</v>
      </c>
      <c r="AX39" s="4">
        <f t="shared" si="23"/>
        <v>0.82368795841732911</v>
      </c>
      <c r="AY39" s="4">
        <f t="shared" si="24"/>
        <v>0.66982359469316322</v>
      </c>
      <c r="AZ39" s="4">
        <f t="shared" si="25"/>
        <v>0.8544608311621622</v>
      </c>
      <c r="BA39" s="4">
        <f>INDEX(table_national_indic,MATCH($BA$1,national_indicator_data!$A$1:$A$7,0),MATCH(selected_indic_name_unadj,national_indicator_data!$A$1:$R$1,0))</f>
        <v>0</v>
      </c>
      <c r="BB39" s="4">
        <f t="shared" si="26"/>
        <v>0.41560427755596879</v>
      </c>
      <c r="BC39" s="4">
        <f t="shared" si="12"/>
        <v>0.5382523813319271</v>
      </c>
      <c r="BD39" s="4">
        <f t="shared" si="13"/>
        <v>0.3854518753785745</v>
      </c>
      <c r="BE39" s="4">
        <f t="shared" si="14"/>
        <v>0.5688432738912329</v>
      </c>
      <c r="BG39">
        <f t="shared" si="28"/>
        <v>38</v>
      </c>
      <c r="BH39">
        <f t="shared" si="27"/>
        <v>190</v>
      </c>
      <c r="BI39" s="42">
        <f t="shared" si="16"/>
        <v>0.45624999999999999</v>
      </c>
      <c r="BJ39" s="42">
        <f t="shared" si="17"/>
        <v>0.40478156027858481</v>
      </c>
      <c r="BK39" s="42">
        <f t="shared" si="18"/>
        <v>0.54921187168838248</v>
      </c>
      <c r="BL39" s="42">
        <f t="shared" si="19"/>
        <v>0.3694532723391234</v>
      </c>
      <c r="BM39" s="42">
        <f t="shared" si="20"/>
        <v>0.58514845573342988</v>
      </c>
      <c r="BN39" s="42">
        <f t="shared" si="21"/>
        <v>0.47675243377685544</v>
      </c>
    </row>
    <row r="40" spans="1:66" x14ac:dyDescent="0.25">
      <c r="A40" t="s">
        <v>87</v>
      </c>
      <c r="B40" t="s">
        <v>86</v>
      </c>
      <c r="C40" t="s">
        <v>69</v>
      </c>
      <c r="D40" t="s">
        <v>67</v>
      </c>
      <c r="E40" s="2">
        <v>108</v>
      </c>
      <c r="F40" s="2">
        <v>96</v>
      </c>
      <c r="G40" s="2">
        <v>8</v>
      </c>
      <c r="H40" s="2">
        <v>21</v>
      </c>
      <c r="I40" s="2">
        <v>25</v>
      </c>
      <c r="J40" s="2">
        <v>16</v>
      </c>
      <c r="K40" s="2">
        <v>7</v>
      </c>
      <c r="L40" s="2">
        <v>53.684211730957031</v>
      </c>
      <c r="M40" s="46" t="str">
        <f t="shared" si="6"/>
        <v>NRA*</v>
      </c>
      <c r="N40" s="2">
        <v>66.25</v>
      </c>
      <c r="O40" s="46" t="str">
        <f t="shared" si="7"/>
        <v>NRA*</v>
      </c>
      <c r="P40" s="2">
        <v>80.952377319335938</v>
      </c>
      <c r="Q40" s="46" t="str">
        <f t="shared" si="8"/>
        <v>NRA*</v>
      </c>
      <c r="R40" s="2">
        <v>27.083333969116211</v>
      </c>
      <c r="S40" s="2">
        <v>24.391147613525391</v>
      </c>
      <c r="T40" s="2"/>
      <c r="V40" s="2">
        <v>88</v>
      </c>
      <c r="W40" s="2">
        <v>85.471855163574219</v>
      </c>
      <c r="X40" s="2"/>
      <c r="Y40" s="2"/>
      <c r="Z40" s="2">
        <v>75</v>
      </c>
      <c r="AA40" s="2">
        <v>74.399085998535156</v>
      </c>
      <c r="AB40" s="2">
        <v>96.969696044921875</v>
      </c>
      <c r="AC40" s="46" t="str">
        <f t="shared" si="9"/>
        <v>NRA*</v>
      </c>
      <c r="AD40" s="2">
        <v>41.904762268066406</v>
      </c>
      <c r="AE40" s="2">
        <v>46.729026794433594</v>
      </c>
      <c r="AF40" s="2"/>
      <c r="AG40" s="34">
        <f t="shared" si="10"/>
        <v>108</v>
      </c>
      <c r="AH40" s="34" t="str" cm="1">
        <f t="array" ref="AH40">IF(AG40="NR**","NR**",INDEX(trust_indicator_data!$A$2:$BE$127,(ROW()-ROW(trust_indicator_data!$A$1:$BE$1)),MATCH(selected_indic_name_adj,trust_indicator_data!$A$1:$BE$1,0)))</f>
        <v>NRA*</v>
      </c>
      <c r="AI40" s="34" t="str">
        <f>IF(AG40="NR**","NR**",IF(AH40="NRA*","NRA*",RANK(AH40,AH:AH,1)+COUNTIF($AH$2:AH40,AH40)-1))</f>
        <v>NRA*</v>
      </c>
      <c r="AJ40" s="34" cm="1">
        <f t="array" ref="AJ40">IF(AG40="NR**","NR**",INDEX(trust_indicator_data!$A$2:$BE$127,(ROW()-ROW(trust_indicator_data!$A$1:$BE$1)),MATCH(selected_indic_name_unadj,trust_indicator_data!$A$1:$BE$1,0)))</f>
        <v>53.684211730957031</v>
      </c>
      <c r="AK40" s="34">
        <f>IF(AG40="NR**","NR**",RANK(trust_indicator_data!AJ40,AJ:AJ,1)+COUNTIF($AJ$2:AJ40,AJ40)-1)</f>
        <v>95</v>
      </c>
      <c r="AM40" s="34" cm="1">
        <f t="array" ref="AM40">IF(AQ40&lt;10,0,INDEX(trust_indicator_data!$A$2:$BE$127,(ROW()-ROW(trust_indicator_data!$A$1:$BE$1)),MATCH(selected_indic_name_unadj,trust_indicator_data!$A$1:$BE$1,0)))</f>
        <v>53.684211730957031</v>
      </c>
      <c r="AN40" s="34">
        <f t="shared" si="11"/>
        <v>95</v>
      </c>
      <c r="AP40" s="34">
        <f>RANK(trust_indicator_data!$AQ40,AQ:AQ,1)+COUNTIF($AQ$2:AQ40,AQ40)-1</f>
        <v>10</v>
      </c>
      <c r="AQ40" s="34" cm="1">
        <f t="array" ref="AQ40">INDEX(trust_indicator_data!$A$2:$BE$127,(ROW()-ROW(trust_indicator_data!$A$1:$BE$1)),MATCH(selected_indic_denom,trust_indicator_data!$A$1:$BE$1,0))</f>
        <v>108</v>
      </c>
      <c r="AR40" s="34" cm="1">
        <f t="array" ref="AR40">INDEX(trust_indicator_data!$A$2:$BE$127,(ROW()-ROW(trust_indicator_data!$A$1:$BE$1)),MATCH(selected_indic_name_unadj,trust_indicator_data!$A$1:$BE$1,0))/100</f>
        <v>0.53684211730957032</v>
      </c>
      <c r="AS40" s="34">
        <f>IF(AQ40&lt;10,NA(),trust_indicator_data!$AR40)</f>
        <v>0.53684211730957032</v>
      </c>
      <c r="AU40" s="34">
        <f>INDEX(table_national_indic,MATCH($AU$1,national_indicator_data!$A$1:$A$17,0),MATCH(selected_indic_name_unadj,national_indicator_data!$A$1:$R$1,0))</f>
        <v>0.47675243377685544</v>
      </c>
      <c r="AV40" s="34">
        <f>INDEX(table_national_indic,MATCH($AV$1,national_indicator_data!$A$1:$A$7,0),MATCH(selected_indic_name_unadj,national_indicator_data!$A$1:$R$1,0))</f>
        <v>0.76214221292766271</v>
      </c>
      <c r="AW40" s="34">
        <f t="shared" si="22"/>
        <v>0.66591716806272505</v>
      </c>
      <c r="AX40" s="34">
        <f t="shared" si="23"/>
        <v>0.85836725779260037</v>
      </c>
      <c r="AY40" s="34">
        <f t="shared" si="24"/>
        <v>0.61780464563025628</v>
      </c>
      <c r="AZ40" s="34">
        <f t="shared" si="25"/>
        <v>0.90647978022506914</v>
      </c>
      <c r="BA40" s="34">
        <f>INDEX(table_national_indic,MATCH($BA$1,national_indicator_data!$A$1:$A$7,0),MATCH(selected_indic_name_unadj,national_indicator_data!$A$1:$R$1,0))</f>
        <v>0</v>
      </c>
      <c r="BB40" s="34">
        <f t="shared" si="26"/>
        <v>0.38165287966537376</v>
      </c>
      <c r="BC40" s="34">
        <f t="shared" si="12"/>
        <v>0.57271035466609199</v>
      </c>
      <c r="BD40" s="34">
        <f t="shared" si="13"/>
        <v>0.33552709879536813</v>
      </c>
      <c r="BE40" s="34">
        <f t="shared" si="14"/>
        <v>0.61990164980607154</v>
      </c>
      <c r="BG40">
        <f t="shared" si="28"/>
        <v>39</v>
      </c>
      <c r="BH40">
        <f t="shared" si="27"/>
        <v>194</v>
      </c>
      <c r="BI40" s="42">
        <f t="shared" si="16"/>
        <v>0.53658535003662111</v>
      </c>
      <c r="BJ40" s="42">
        <f t="shared" si="17"/>
        <v>0.40551971826110789</v>
      </c>
      <c r="BK40" s="42">
        <f t="shared" si="18"/>
        <v>0.54846365752753667</v>
      </c>
      <c r="BL40" s="42">
        <f t="shared" si="19"/>
        <v>0.37054220077205446</v>
      </c>
      <c r="BM40" s="42">
        <f t="shared" si="20"/>
        <v>0.58403699912340712</v>
      </c>
      <c r="BN40" s="42">
        <f t="shared" si="21"/>
        <v>0.47675243377685544</v>
      </c>
    </row>
    <row r="41" spans="1:66" x14ac:dyDescent="0.25">
      <c r="A41" t="s">
        <v>164</v>
      </c>
      <c r="B41" t="s">
        <v>163</v>
      </c>
      <c r="C41" t="s">
        <v>24</v>
      </c>
      <c r="D41" t="s">
        <v>22</v>
      </c>
      <c r="E41" s="2">
        <v>221</v>
      </c>
      <c r="F41" s="2">
        <v>195</v>
      </c>
      <c r="G41" s="2">
        <v>19</v>
      </c>
      <c r="H41" s="2">
        <v>31</v>
      </c>
      <c r="I41" s="2">
        <v>36</v>
      </c>
      <c r="J41" s="2">
        <v>35</v>
      </c>
      <c r="K41" s="2">
        <v>8</v>
      </c>
      <c r="L41" s="2">
        <v>47.441860198974609</v>
      </c>
      <c r="M41" s="46" t="str">
        <f t="shared" si="6"/>
        <v>NRA*</v>
      </c>
      <c r="N41" s="2">
        <v>50.289016723632813</v>
      </c>
      <c r="O41" s="46" t="str">
        <f t="shared" si="7"/>
        <v>NRA*</v>
      </c>
      <c r="P41" s="2">
        <v>74.193550109863281</v>
      </c>
      <c r="Q41" s="46" t="str">
        <f t="shared" si="8"/>
        <v>NRA*</v>
      </c>
      <c r="R41" s="2">
        <v>13.84615421295166</v>
      </c>
      <c r="S41" s="2">
        <v>16.082439422607422</v>
      </c>
      <c r="T41" s="2">
        <v>73.684211730957031</v>
      </c>
      <c r="U41" s="4">
        <v>71.762443542480469</v>
      </c>
      <c r="V41" s="2">
        <v>75</v>
      </c>
      <c r="W41" s="2">
        <v>79.646240234375</v>
      </c>
      <c r="X41" s="2"/>
      <c r="Y41" s="2"/>
      <c r="Z41" s="2">
        <v>68.571426391601563</v>
      </c>
      <c r="AA41" s="2">
        <v>67.533378601074219</v>
      </c>
      <c r="AB41" s="2">
        <v>89.032257080078125</v>
      </c>
      <c r="AC41" s="46" t="str">
        <f t="shared" si="9"/>
        <v>NRA*</v>
      </c>
      <c r="AD41" s="2">
        <v>38.461540222167969</v>
      </c>
      <c r="AE41" s="2">
        <v>33.432830810546875</v>
      </c>
      <c r="AF41" s="2"/>
      <c r="AG41" s="4">
        <f t="shared" si="10"/>
        <v>221</v>
      </c>
      <c r="AH41" s="4" t="str" cm="1">
        <f t="array" ref="AH41">IF(AG41="NR**","NR**",INDEX(trust_indicator_data!$A$2:$BE$127,(ROW()-ROW(trust_indicator_data!$A$1:$BE$1)),MATCH(selected_indic_name_adj,trust_indicator_data!$A$1:$BE$1,0)))</f>
        <v>NRA*</v>
      </c>
      <c r="AI41" s="4" t="str">
        <f>IF(AG41="NR**","NR**",IF(AH41="NRA*","NRA*",RANK(AH41,AH:AH,1)+COUNTIF($AH$2:AH41,AH41)-1))</f>
        <v>NRA*</v>
      </c>
      <c r="AJ41" s="4" cm="1">
        <f t="array" ref="AJ41">IF(AG41="NR**","NR**",INDEX(trust_indicator_data!$A$2:$BE$127,(ROW()-ROW(trust_indicator_data!$A$1:$BE$1)),MATCH(selected_indic_name_unadj,trust_indicator_data!$A$1:$BE$1,0)))</f>
        <v>47.441860198974609</v>
      </c>
      <c r="AK41" s="4">
        <f>IF(AG41="NR**","NR**",RANK(trust_indicator_data!AJ41,AJ:AJ,1)+COUNTIF($AJ$2:AJ41,AJ41)-1)</f>
        <v>51</v>
      </c>
      <c r="AM41" s="4" cm="1">
        <f t="array" ref="AM41">IF(AQ41&lt;10,0,INDEX(trust_indicator_data!$A$2:$BE$127,(ROW()-ROW(trust_indicator_data!$A$1:$BE$1)),MATCH(selected_indic_name_unadj,trust_indicator_data!$A$1:$BE$1,0)))</f>
        <v>47.441860198974609</v>
      </c>
      <c r="AN41" s="4">
        <f t="shared" si="11"/>
        <v>51</v>
      </c>
      <c r="AP41" s="4">
        <f>RANK(trust_indicator_data!$AQ41,AQ:AQ,1)+COUNTIF($AQ$2:AQ41,AQ41)-1</f>
        <v>53</v>
      </c>
      <c r="AQ41" s="4" cm="1">
        <f t="array" ref="AQ41">INDEX(trust_indicator_data!$A$2:$BE$127,(ROW()-ROW(trust_indicator_data!$A$1:$BE$1)),MATCH(selected_indic_denom,trust_indicator_data!$A$1:$BE$1,0))</f>
        <v>221</v>
      </c>
      <c r="AR41" s="4" cm="1">
        <f t="array" ref="AR41">INDEX(trust_indicator_data!$A$2:$BE$127,(ROW()-ROW(trust_indicator_data!$A$1:$BE$1)),MATCH(selected_indic_name_unadj,trust_indicator_data!$A$1:$BE$1,0))/100</f>
        <v>0.47441860198974611</v>
      </c>
      <c r="AS41" s="4">
        <f>IF(AQ41&lt;10,NA(),trust_indicator_data!$AR41)</f>
        <v>0.47441860198974611</v>
      </c>
      <c r="AU41" s="4">
        <f>INDEX(table_national_indic,MATCH($AU$1,national_indicator_data!$A$1:$A$17,0),MATCH(selected_indic_name_unadj,national_indicator_data!$A$1:$R$1,0))</f>
        <v>0.47675243377685544</v>
      </c>
      <c r="AV41" s="4">
        <f>INDEX(table_national_indic,MATCH($AV$1,national_indicator_data!$A$1:$A$7,0),MATCH(selected_indic_name_unadj,national_indicator_data!$A$1:$R$1,0))</f>
        <v>0.76214221292766271</v>
      </c>
      <c r="AW41" s="4">
        <f t="shared" si="22"/>
        <v>0.69487493352803142</v>
      </c>
      <c r="AX41" s="4">
        <f t="shared" si="23"/>
        <v>0.829409492327294</v>
      </c>
      <c r="AY41" s="4">
        <f t="shared" si="24"/>
        <v>0.66124129382821584</v>
      </c>
      <c r="AZ41" s="4">
        <f t="shared" si="25"/>
        <v>0.86304313202710958</v>
      </c>
      <c r="BA41" s="4">
        <f>INDEX(table_national_indic,MATCH($BA$1,national_indicator_data!$A$1:$A$7,0),MATCH(selected_indic_name_unadj,national_indicator_data!$A$1:$R$1,0))</f>
        <v>0</v>
      </c>
      <c r="BB41" s="4">
        <f t="shared" si="26"/>
        <v>0.40997048598696872</v>
      </c>
      <c r="BC41" s="4">
        <f t="shared" si="12"/>
        <v>0.54395451773269188</v>
      </c>
      <c r="BD41" s="4">
        <f t="shared" si="13"/>
        <v>0.37711511540482745</v>
      </c>
      <c r="BE41" s="4">
        <f t="shared" si="14"/>
        <v>0.57733327707683346</v>
      </c>
      <c r="BG41">
        <f t="shared" si="28"/>
        <v>40</v>
      </c>
      <c r="BH41">
        <f t="shared" si="27"/>
        <v>195</v>
      </c>
      <c r="BI41" s="42">
        <f t="shared" si="16"/>
        <v>0.39814815521240232</v>
      </c>
      <c r="BJ41" s="42">
        <f t="shared" si="17"/>
        <v>0.40570073239840299</v>
      </c>
      <c r="BK41" s="42">
        <f t="shared" si="18"/>
        <v>0.54828019369799519</v>
      </c>
      <c r="BL41" s="42">
        <f t="shared" si="19"/>
        <v>0.37080928482430259</v>
      </c>
      <c r="BM41" s="42">
        <f t="shared" si="20"/>
        <v>0.58376442688109209</v>
      </c>
      <c r="BN41" s="42">
        <f t="shared" si="21"/>
        <v>0.47675243377685544</v>
      </c>
    </row>
    <row r="42" spans="1:66" x14ac:dyDescent="0.25">
      <c r="A42" t="s">
        <v>234</v>
      </c>
      <c r="B42" t="s">
        <v>233</v>
      </c>
      <c r="C42" t="s">
        <v>21</v>
      </c>
      <c r="D42" t="s">
        <v>19</v>
      </c>
      <c r="E42" s="2">
        <v>216</v>
      </c>
      <c r="F42" s="2">
        <v>198</v>
      </c>
      <c r="G42" s="2">
        <v>15</v>
      </c>
      <c r="H42" s="2">
        <v>14</v>
      </c>
      <c r="I42" s="2">
        <v>16</v>
      </c>
      <c r="J42" s="2">
        <v>16</v>
      </c>
      <c r="K42" s="2">
        <v>9</v>
      </c>
      <c r="L42" s="2">
        <v>46.835441589355469</v>
      </c>
      <c r="M42" s="46" t="str">
        <f t="shared" si="6"/>
        <v>NRA*</v>
      </c>
      <c r="N42" s="2">
        <v>42.201835632324219</v>
      </c>
      <c r="O42" s="46" t="str">
        <f t="shared" si="7"/>
        <v>NRA*</v>
      </c>
      <c r="P42" s="2">
        <v>92.857139587402344</v>
      </c>
      <c r="Q42" s="46" t="str">
        <f t="shared" si="8"/>
        <v>NRA*</v>
      </c>
      <c r="R42" s="2">
        <v>18.686868667602539</v>
      </c>
      <c r="S42" s="2">
        <v>21.11768913269043</v>
      </c>
      <c r="T42" s="2">
        <v>80</v>
      </c>
      <c r="U42" s="4">
        <v>76.731781005859375</v>
      </c>
      <c r="V42" s="2">
        <v>100</v>
      </c>
      <c r="W42" s="2">
        <v>91.197433471679688</v>
      </c>
      <c r="X42" s="2"/>
      <c r="Y42" s="2"/>
      <c r="Z42" s="2">
        <v>62.5</v>
      </c>
      <c r="AA42" s="2">
        <v>54.844364166259766</v>
      </c>
      <c r="AB42" s="2">
        <v>99.300697326660156</v>
      </c>
      <c r="AC42" s="46" t="str">
        <f t="shared" si="9"/>
        <v>NRA*</v>
      </c>
      <c r="AD42" s="2">
        <v>30.51643180847168</v>
      </c>
      <c r="AE42" s="2">
        <v>31.0928955078125</v>
      </c>
      <c r="AF42" s="2"/>
      <c r="AG42" s="34">
        <f t="shared" si="10"/>
        <v>216</v>
      </c>
      <c r="AH42" s="34" t="str" cm="1">
        <f t="array" ref="AH42">IF(AG42="NR**","NR**",INDEX(trust_indicator_data!$A$2:$BE$127,(ROW()-ROW(trust_indicator_data!$A$1:$BE$1)),MATCH(selected_indic_name_adj,trust_indicator_data!$A$1:$BE$1,0)))</f>
        <v>NRA*</v>
      </c>
      <c r="AI42" s="34" t="str">
        <f>IF(AG42="NR**","NR**",IF(AH42="NRA*","NRA*",RANK(AH42,AH:AH,1)+COUNTIF($AH$2:AH42,AH42)-1))</f>
        <v>NRA*</v>
      </c>
      <c r="AJ42" s="34" cm="1">
        <f t="array" ref="AJ42">IF(AG42="NR**","NR**",INDEX(trust_indicator_data!$A$2:$BE$127,(ROW()-ROW(trust_indicator_data!$A$1:$BE$1)),MATCH(selected_indic_name_unadj,trust_indicator_data!$A$1:$BE$1,0)))</f>
        <v>46.835441589355469</v>
      </c>
      <c r="AK42" s="34">
        <f>IF(AG42="NR**","NR**",RANK(trust_indicator_data!AJ42,AJ:AJ,1)+COUNTIF($AJ$2:AJ42,AJ42)-1)</f>
        <v>48</v>
      </c>
      <c r="AM42" s="34" cm="1">
        <f t="array" ref="AM42">IF(AQ42&lt;10,0,INDEX(trust_indicator_data!$A$2:$BE$127,(ROW()-ROW(trust_indicator_data!$A$1:$BE$1)),MATCH(selected_indic_name_unadj,trust_indicator_data!$A$1:$BE$1,0)))</f>
        <v>46.835441589355469</v>
      </c>
      <c r="AN42" s="34">
        <f t="shared" si="11"/>
        <v>48</v>
      </c>
      <c r="AP42" s="34">
        <f>RANK(trust_indicator_data!$AQ42,AQ:AQ,1)+COUNTIF($AQ$2:AQ42,AQ42)-1</f>
        <v>51</v>
      </c>
      <c r="AQ42" s="34" cm="1">
        <f t="array" ref="AQ42">INDEX(trust_indicator_data!$A$2:$BE$127,(ROW()-ROW(trust_indicator_data!$A$1:$BE$1)),MATCH(selected_indic_denom,trust_indicator_data!$A$1:$BE$1,0))</f>
        <v>216</v>
      </c>
      <c r="AR42" s="34" cm="1">
        <f t="array" ref="AR42">INDEX(trust_indicator_data!$A$2:$BE$127,(ROW()-ROW(trust_indicator_data!$A$1:$BE$1)),MATCH(selected_indic_name_unadj,trust_indicator_data!$A$1:$BE$1,0))/100</f>
        <v>0.4683544158935547</v>
      </c>
      <c r="AS42" s="34">
        <f>IF(AQ42&lt;10,NA(),trust_indicator_data!$AR42)</f>
        <v>0.4683544158935547</v>
      </c>
      <c r="AU42" s="34">
        <f>INDEX(table_national_indic,MATCH($AU$1,national_indicator_data!$A$1:$A$17,0),MATCH(selected_indic_name_unadj,national_indicator_data!$A$1:$R$1,0))</f>
        <v>0.47675243377685544</v>
      </c>
      <c r="AV42" s="34">
        <f>INDEX(table_national_indic,MATCH($AV$1,national_indicator_data!$A$1:$A$7,0),MATCH(selected_indic_name_unadj,national_indicator_data!$A$1:$R$1,0))</f>
        <v>0.76214221292766271</v>
      </c>
      <c r="AW42" s="34">
        <f t="shared" si="22"/>
        <v>0.6941008311836856</v>
      </c>
      <c r="AX42" s="34">
        <f t="shared" si="23"/>
        <v>0.83018359467163982</v>
      </c>
      <c r="AY42" s="34">
        <f t="shared" si="24"/>
        <v>0.66008014031169693</v>
      </c>
      <c r="AZ42" s="34">
        <f t="shared" si="25"/>
        <v>0.86420428554362849</v>
      </c>
      <c r="BA42" s="34">
        <f>INDEX(table_national_indic,MATCH($BA$1,national_indicator_data!$A$1:$A$7,0),MATCH(selected_indic_name_unadj,national_indicator_data!$A$1:$R$1,0))</f>
        <v>0</v>
      </c>
      <c r="BB42" s="34">
        <f t="shared" si="26"/>
        <v>0.4092091439225673</v>
      </c>
      <c r="BC42" s="34">
        <f t="shared" si="12"/>
        <v>0.54472557015869194</v>
      </c>
      <c r="BD42" s="34">
        <f t="shared" si="13"/>
        <v>0.37598990889744943</v>
      </c>
      <c r="BE42" s="34">
        <f t="shared" si="14"/>
        <v>0.57848024855358715</v>
      </c>
      <c r="BG42">
        <f t="shared" si="28"/>
        <v>41</v>
      </c>
      <c r="BH42">
        <f t="shared" si="27"/>
        <v>197</v>
      </c>
      <c r="BI42" s="42">
        <f t="shared" si="16"/>
        <v>0.50549449920654299</v>
      </c>
      <c r="BJ42" s="42">
        <f t="shared" si="17"/>
        <v>0.40605865473653213</v>
      </c>
      <c r="BK42" s="42">
        <f t="shared" si="18"/>
        <v>0.54791744645887153</v>
      </c>
      <c r="BL42" s="42">
        <f t="shared" si="19"/>
        <v>0.37133745524229672</v>
      </c>
      <c r="BM42" s="42">
        <f t="shared" si="20"/>
        <v>0.58322544659760756</v>
      </c>
      <c r="BN42" s="42">
        <f t="shared" si="21"/>
        <v>0.47675243377685544</v>
      </c>
    </row>
    <row r="43" spans="1:66" x14ac:dyDescent="0.25">
      <c r="A43" t="s">
        <v>200</v>
      </c>
      <c r="B43" t="s">
        <v>199</v>
      </c>
      <c r="C43" t="s">
        <v>57</v>
      </c>
      <c r="D43" t="s">
        <v>55</v>
      </c>
      <c r="E43" s="2">
        <v>335</v>
      </c>
      <c r="F43" s="2">
        <v>323</v>
      </c>
      <c r="G43" s="2">
        <v>12</v>
      </c>
      <c r="H43" s="2">
        <v>46</v>
      </c>
      <c r="I43" s="2">
        <v>70</v>
      </c>
      <c r="J43" s="2">
        <v>68</v>
      </c>
      <c r="K43" s="2">
        <v>12</v>
      </c>
      <c r="L43" s="2">
        <v>53.003532409667969</v>
      </c>
      <c r="M43" s="46" t="str">
        <f t="shared" si="6"/>
        <v>NRA*</v>
      </c>
      <c r="N43" s="2">
        <v>57.083332061767578</v>
      </c>
      <c r="O43" s="46" t="str">
        <f t="shared" si="7"/>
        <v>NRA*</v>
      </c>
      <c r="P43" s="2">
        <v>60.869564056396484</v>
      </c>
      <c r="Q43" s="46" t="str">
        <f t="shared" si="8"/>
        <v>NRA*</v>
      </c>
      <c r="R43" s="2">
        <v>19.504644393920898</v>
      </c>
      <c r="S43" s="2">
        <v>25.062850952148438</v>
      </c>
      <c r="T43" s="2">
        <v>83.333335876464844</v>
      </c>
      <c r="U43" s="4">
        <v>82.353317260742188</v>
      </c>
      <c r="V43" s="2">
        <v>71.428573608398438</v>
      </c>
      <c r="W43" s="2">
        <v>78.583122253417969</v>
      </c>
      <c r="X43" s="2">
        <v>25</v>
      </c>
      <c r="Y43" s="2">
        <v>31.013835906982422</v>
      </c>
      <c r="Z43" s="2">
        <v>64.705879211425781</v>
      </c>
      <c r="AA43" s="2">
        <v>67.604118347167969</v>
      </c>
      <c r="AB43" s="2">
        <v>98.230087280273438</v>
      </c>
      <c r="AC43" s="46" t="str">
        <f t="shared" si="9"/>
        <v>NRA*</v>
      </c>
      <c r="AD43" s="2">
        <v>40.909091949462891</v>
      </c>
      <c r="AE43" s="2">
        <v>35.192737579345703</v>
      </c>
      <c r="AF43" s="2"/>
      <c r="AG43" s="4">
        <f t="shared" si="10"/>
        <v>335</v>
      </c>
      <c r="AH43" s="4" t="str" cm="1">
        <f t="array" ref="AH43">IF(AG43="NR**","NR**",INDEX(trust_indicator_data!$A$2:$BE$127,(ROW()-ROW(trust_indicator_data!$A$1:$BE$1)),MATCH(selected_indic_name_adj,trust_indicator_data!$A$1:$BE$1,0)))</f>
        <v>NRA*</v>
      </c>
      <c r="AI43" s="4" t="str">
        <f>IF(AG43="NR**","NR**",IF(AH43="NRA*","NRA*",RANK(AH43,AH:AH,1)+COUNTIF($AH$2:AH43,AH43)-1))</f>
        <v>NRA*</v>
      </c>
      <c r="AJ43" s="4" cm="1">
        <f t="array" ref="AJ43">IF(AG43="NR**","NR**",INDEX(trust_indicator_data!$A$2:$BE$127,(ROW()-ROW(trust_indicator_data!$A$1:$BE$1)),MATCH(selected_indic_name_unadj,trust_indicator_data!$A$1:$BE$1,0)))</f>
        <v>53.003532409667969</v>
      </c>
      <c r="AK43" s="4">
        <f>IF(AG43="NR**","NR**",RANK(trust_indicator_data!AJ43,AJ:AJ,1)+COUNTIF($AJ$2:AJ43,AJ43)-1)</f>
        <v>88</v>
      </c>
      <c r="AM43" s="4" cm="1">
        <f t="array" ref="AM43">IF(AQ43&lt;10,0,INDEX(trust_indicator_data!$A$2:$BE$127,(ROW()-ROW(trust_indicator_data!$A$1:$BE$1)),MATCH(selected_indic_name_unadj,trust_indicator_data!$A$1:$BE$1,0)))</f>
        <v>53.003532409667969</v>
      </c>
      <c r="AN43" s="4">
        <f t="shared" si="11"/>
        <v>88</v>
      </c>
      <c r="AP43" s="4">
        <f>RANK(trust_indicator_data!$AQ43,AQ:AQ,1)+COUNTIF($AQ$2:AQ43,AQ43)-1</f>
        <v>89</v>
      </c>
      <c r="AQ43" s="4" cm="1">
        <f t="array" ref="AQ43">INDEX(trust_indicator_data!$A$2:$BE$127,(ROW()-ROW(trust_indicator_data!$A$1:$BE$1)),MATCH(selected_indic_denom,trust_indicator_data!$A$1:$BE$1,0))</f>
        <v>335</v>
      </c>
      <c r="AR43" s="4" cm="1">
        <f t="array" ref="AR43">INDEX(trust_indicator_data!$A$2:$BE$127,(ROW()-ROW(trust_indicator_data!$A$1:$BE$1)),MATCH(selected_indic_name_unadj,trust_indicator_data!$A$1:$BE$1,0))/100</f>
        <v>0.53003532409667964</v>
      </c>
      <c r="AS43" s="4">
        <f>IF(AQ43&lt;10,NA(),trust_indicator_data!$AR43)</f>
        <v>0.53003532409667964</v>
      </c>
      <c r="AU43" s="4">
        <f>INDEX(table_national_indic,MATCH($AU$1,national_indicator_data!$A$1:$A$17,0),MATCH(selected_indic_name_unadj,national_indicator_data!$A$1:$R$1,0))</f>
        <v>0.47675243377685544</v>
      </c>
      <c r="AV43" s="4">
        <f>INDEX(table_national_indic,MATCH($AV$1,national_indicator_data!$A$1:$A$7,0),MATCH(selected_indic_name_unadj,national_indicator_data!$A$1:$R$1,0))</f>
        <v>0.76214221292766271</v>
      </c>
      <c r="AW43" s="4">
        <f t="shared" si="22"/>
        <v>0.70750637645684744</v>
      </c>
      <c r="AX43" s="4">
        <f t="shared" si="23"/>
        <v>0.81677804939847798</v>
      </c>
      <c r="AY43" s="4">
        <f t="shared" si="24"/>
        <v>0.6801884582214397</v>
      </c>
      <c r="AZ43" s="4">
        <f t="shared" si="25"/>
        <v>0.84409596763388572</v>
      </c>
      <c r="BA43" s="4">
        <f>INDEX(table_national_indic,MATCH($BA$1,national_indicator_data!$A$1:$A$7,0),MATCH(selected_indic_name_unadj,national_indicator_data!$A$1:$R$1,0))</f>
        <v>0</v>
      </c>
      <c r="BB43" s="4">
        <f t="shared" si="26"/>
        <v>0.42242288407600131</v>
      </c>
      <c r="BC43" s="4">
        <f t="shared" si="12"/>
        <v>0.53135929026602269</v>
      </c>
      <c r="BD43" s="4">
        <f t="shared" si="13"/>
        <v>0.39556496110513595</v>
      </c>
      <c r="BE43" s="4">
        <f t="shared" si="14"/>
        <v>0.55856307090880852</v>
      </c>
      <c r="BG43">
        <f t="shared" si="28"/>
        <v>42</v>
      </c>
      <c r="BH43">
        <f t="shared" si="27"/>
        <v>198</v>
      </c>
      <c r="BI43" s="42">
        <f t="shared" si="16"/>
        <v>0.46192893981933592</v>
      </c>
      <c r="BJ43" s="42">
        <f t="shared" si="17"/>
        <v>0.40623559725754421</v>
      </c>
      <c r="BK43" s="42">
        <f t="shared" si="18"/>
        <v>0.54773812797802224</v>
      </c>
      <c r="BL43" s="42">
        <f t="shared" si="19"/>
        <v>0.37159859124291861</v>
      </c>
      <c r="BM43" s="42">
        <f t="shared" si="20"/>
        <v>0.58295898724600148</v>
      </c>
      <c r="BN43" s="42">
        <f t="shared" si="21"/>
        <v>0.47675243377685544</v>
      </c>
    </row>
    <row r="44" spans="1:66" x14ac:dyDescent="0.25">
      <c r="A44" t="s">
        <v>112</v>
      </c>
      <c r="B44" t="s">
        <v>111</v>
      </c>
      <c r="C44" t="s">
        <v>512</v>
      </c>
      <c r="D44" t="s">
        <v>70</v>
      </c>
      <c r="E44" s="2">
        <v>117</v>
      </c>
      <c r="F44" s="2">
        <v>109</v>
      </c>
      <c r="G44" s="2">
        <v>7</v>
      </c>
      <c r="H44" s="2">
        <v>22</v>
      </c>
      <c r="I44" s="2">
        <v>25</v>
      </c>
      <c r="J44" s="2">
        <v>37</v>
      </c>
      <c r="K44" s="2">
        <v>10</v>
      </c>
      <c r="L44" s="2">
        <v>52.2935791015625</v>
      </c>
      <c r="M44" s="46" t="str">
        <f t="shared" si="6"/>
        <v>NRA*</v>
      </c>
      <c r="N44" s="2">
        <v>63.888889312744141</v>
      </c>
      <c r="O44" s="46" t="str">
        <f t="shared" si="7"/>
        <v>NRA*</v>
      </c>
      <c r="P44" s="2">
        <v>95.454544067382813</v>
      </c>
      <c r="Q44" s="46" t="str">
        <f t="shared" si="8"/>
        <v>NRA*</v>
      </c>
      <c r="R44" s="2">
        <v>11.926605224609375</v>
      </c>
      <c r="S44" s="2">
        <v>11.125956535339355</v>
      </c>
      <c r="T44" s="2"/>
      <c r="V44" s="2">
        <v>72</v>
      </c>
      <c r="W44" s="2">
        <v>67.059188842773438</v>
      </c>
      <c r="X44" s="2">
        <v>70</v>
      </c>
      <c r="Y44" s="2">
        <v>71.464820861816406</v>
      </c>
      <c r="Z44" s="2">
        <v>59.459461212158203</v>
      </c>
      <c r="AA44" s="2">
        <v>60.471580505371094</v>
      </c>
      <c r="AB44" s="2">
        <v>94.444442749023438</v>
      </c>
      <c r="AC44" s="46" t="str">
        <f t="shared" si="9"/>
        <v>NRA*</v>
      </c>
      <c r="AD44" s="2">
        <v>40.517242431640625</v>
      </c>
      <c r="AE44" s="2">
        <v>44.009635925292969</v>
      </c>
      <c r="AF44" s="2"/>
      <c r="AG44" s="34">
        <f t="shared" si="10"/>
        <v>117</v>
      </c>
      <c r="AH44" s="34" t="str" cm="1">
        <f t="array" ref="AH44">IF(AG44="NR**","NR**",INDEX(trust_indicator_data!$A$2:$BE$127,(ROW()-ROW(trust_indicator_data!$A$1:$BE$1)),MATCH(selected_indic_name_adj,trust_indicator_data!$A$1:$BE$1,0)))</f>
        <v>NRA*</v>
      </c>
      <c r="AI44" s="34" t="str">
        <f>IF(AG44="NR**","NR**",IF(AH44="NRA*","NRA*",RANK(AH44,AH:AH,1)+COUNTIF($AH$2:AH44,AH44)-1))</f>
        <v>NRA*</v>
      </c>
      <c r="AJ44" s="34" cm="1">
        <f t="array" ref="AJ44">IF(AG44="NR**","NR**",INDEX(trust_indicator_data!$A$2:$BE$127,(ROW()-ROW(trust_indicator_data!$A$1:$BE$1)),MATCH(selected_indic_name_unadj,trust_indicator_data!$A$1:$BE$1,0)))</f>
        <v>52.2935791015625</v>
      </c>
      <c r="AK44" s="34">
        <f>IF(AG44="NR**","NR**",RANK(trust_indicator_data!AJ44,AJ:AJ,1)+COUNTIF($AJ$2:AJ44,AJ44)-1)</f>
        <v>83</v>
      </c>
      <c r="AM44" s="34" cm="1">
        <f t="array" ref="AM44">IF(AQ44&lt;10,0,INDEX(trust_indicator_data!$A$2:$BE$127,(ROW()-ROW(trust_indicator_data!$A$1:$BE$1)),MATCH(selected_indic_name_unadj,trust_indicator_data!$A$1:$BE$1,0)))</f>
        <v>52.2935791015625</v>
      </c>
      <c r="AN44" s="34">
        <f t="shared" si="11"/>
        <v>83</v>
      </c>
      <c r="AP44" s="34">
        <f>RANK(trust_indicator_data!$AQ44,AQ:AQ,1)+COUNTIF($AQ$2:AQ44,AQ44)-1</f>
        <v>15</v>
      </c>
      <c r="AQ44" s="34" cm="1">
        <f t="array" ref="AQ44">INDEX(trust_indicator_data!$A$2:$BE$127,(ROW()-ROW(trust_indicator_data!$A$1:$BE$1)),MATCH(selected_indic_denom,trust_indicator_data!$A$1:$BE$1,0))</f>
        <v>117</v>
      </c>
      <c r="AR44" s="34" cm="1">
        <f t="array" ref="AR44">INDEX(trust_indicator_data!$A$2:$BE$127,(ROW()-ROW(trust_indicator_data!$A$1:$BE$1)),MATCH(selected_indic_name_unadj,trust_indicator_data!$A$1:$BE$1,0))/100</f>
        <v>0.52293579101562504</v>
      </c>
      <c r="AS44" s="34">
        <f>IF(AQ44&lt;10,NA(),trust_indicator_data!$AR44)</f>
        <v>0.52293579101562504</v>
      </c>
      <c r="AU44" s="34">
        <f>INDEX(table_national_indic,MATCH($AU$1,national_indicator_data!$A$1:$A$17,0),MATCH(selected_indic_name_unadj,national_indicator_data!$A$1:$R$1,0))</f>
        <v>0.47675243377685544</v>
      </c>
      <c r="AV44" s="34">
        <f>INDEX(table_national_indic,MATCH($AV$1,national_indicator_data!$A$1:$A$7,0),MATCH(selected_indic_name_unadj,national_indicator_data!$A$1:$R$1,0))</f>
        <v>0.76214221292766271</v>
      </c>
      <c r="AW44" s="34">
        <f t="shared" si="22"/>
        <v>0.66969218022345789</v>
      </c>
      <c r="AX44" s="34">
        <f t="shared" si="23"/>
        <v>0.85459224563186753</v>
      </c>
      <c r="AY44" s="34">
        <f t="shared" si="24"/>
        <v>0.62346716387135548</v>
      </c>
      <c r="AZ44" s="34">
        <f t="shared" si="25"/>
        <v>0.90081726198396994</v>
      </c>
      <c r="BA44" s="34">
        <f>INDEX(table_national_indic,MATCH($BA$1,national_indicator_data!$A$1:$A$7,0),MATCH(selected_indic_name_unadj,national_indicator_data!$A$1:$R$1,0))</f>
        <v>0</v>
      </c>
      <c r="BB44" s="34">
        <f t="shared" si="26"/>
        <v>0.38532395999562485</v>
      </c>
      <c r="BC44" s="34">
        <f t="shared" si="12"/>
        <v>0.56897343437084413</v>
      </c>
      <c r="BD44" s="34">
        <f t="shared" si="13"/>
        <v>0.34088492404743648</v>
      </c>
      <c r="BE44" s="34">
        <f t="shared" si="14"/>
        <v>0.61439678388690588</v>
      </c>
      <c r="BG44">
        <f t="shared" si="28"/>
        <v>43</v>
      </c>
      <c r="BH44">
        <f t="shared" si="27"/>
        <v>199</v>
      </c>
      <c r="BI44" s="42">
        <f t="shared" si="16"/>
        <v>0.53571430206298831</v>
      </c>
      <c r="BJ44" s="42">
        <f t="shared" si="17"/>
        <v>0.40641121639377226</v>
      </c>
      <c r="BK44" s="42">
        <f t="shared" si="18"/>
        <v>0.54756015672089786</v>
      </c>
      <c r="BL44" s="42">
        <f t="shared" si="19"/>
        <v>0.37185779347929288</v>
      </c>
      <c r="BM44" s="42">
        <f t="shared" si="20"/>
        <v>0.58269451495740365</v>
      </c>
      <c r="BN44" s="42">
        <f t="shared" si="21"/>
        <v>0.47675243377685544</v>
      </c>
    </row>
    <row r="45" spans="1:66" x14ac:dyDescent="0.25">
      <c r="A45" t="s">
        <v>320</v>
      </c>
      <c r="B45" t="s">
        <v>319</v>
      </c>
      <c r="C45" t="s">
        <v>39</v>
      </c>
      <c r="D45" t="s">
        <v>37</v>
      </c>
      <c r="E45" s="2">
        <v>232</v>
      </c>
      <c r="F45" s="2">
        <v>215</v>
      </c>
      <c r="G45" s="2">
        <v>16</v>
      </c>
      <c r="H45" s="2">
        <v>10</v>
      </c>
      <c r="I45" s="2">
        <v>16</v>
      </c>
      <c r="J45" s="2">
        <v>26</v>
      </c>
      <c r="K45" s="2">
        <v>15</v>
      </c>
      <c r="L45" s="2">
        <v>45.238094329833984</v>
      </c>
      <c r="M45" s="46" t="str">
        <f t="shared" si="6"/>
        <v>NRA*</v>
      </c>
      <c r="N45" s="2">
        <v>50</v>
      </c>
      <c r="O45" s="46" t="str">
        <f t="shared" si="7"/>
        <v>NRA*</v>
      </c>
      <c r="P45" s="2">
        <v>60</v>
      </c>
      <c r="Q45" s="46" t="str">
        <f t="shared" si="8"/>
        <v>NRA*</v>
      </c>
      <c r="R45" s="2">
        <v>12.558139801025391</v>
      </c>
      <c r="S45" s="2">
        <v>19.437828063964844</v>
      </c>
      <c r="T45" s="2">
        <v>93.75</v>
      </c>
      <c r="U45" s="4">
        <v>91.330055236816406</v>
      </c>
      <c r="V45" s="2">
        <v>81.25</v>
      </c>
      <c r="W45" s="2">
        <v>88.000160217285156</v>
      </c>
      <c r="X45" s="2">
        <v>46.666667938232422</v>
      </c>
      <c r="Y45" s="2">
        <v>49.89996337890625</v>
      </c>
      <c r="Z45" s="2">
        <v>80.769233703613281</v>
      </c>
      <c r="AA45" s="2">
        <v>87.9761962890625</v>
      </c>
      <c r="AB45" s="2">
        <v>92.356689453125</v>
      </c>
      <c r="AC45" s="46" t="str">
        <f t="shared" si="9"/>
        <v>NRA*</v>
      </c>
      <c r="AD45" s="2">
        <v>38.095237731933594</v>
      </c>
      <c r="AE45" s="2">
        <v>36.674713134765625</v>
      </c>
      <c r="AF45" s="2"/>
      <c r="AG45" s="4">
        <f t="shared" si="10"/>
        <v>232</v>
      </c>
      <c r="AH45" s="4" t="str" cm="1">
        <f t="array" ref="AH45">IF(AG45="NR**","NR**",INDEX(trust_indicator_data!$A$2:$BE$127,(ROW()-ROW(trust_indicator_data!$A$1:$BE$1)),MATCH(selected_indic_name_adj,trust_indicator_data!$A$1:$BE$1,0)))</f>
        <v>NRA*</v>
      </c>
      <c r="AI45" s="4" t="str">
        <f>IF(AG45="NR**","NR**",IF(AH45="NRA*","NRA*",RANK(AH45,AH:AH,1)+COUNTIF($AH$2:AH45,AH45)-1))</f>
        <v>NRA*</v>
      </c>
      <c r="AJ45" s="4" cm="1">
        <f t="array" ref="AJ45">IF(AG45="NR**","NR**",INDEX(trust_indicator_data!$A$2:$BE$127,(ROW()-ROW(trust_indicator_data!$A$1:$BE$1)),MATCH(selected_indic_name_unadj,trust_indicator_data!$A$1:$BE$1,0)))</f>
        <v>45.238094329833984</v>
      </c>
      <c r="AK45" s="4">
        <f>IF(AG45="NR**","NR**",RANK(trust_indicator_data!AJ45,AJ:AJ,1)+COUNTIF($AJ$2:AJ45,AJ45)-1)</f>
        <v>38</v>
      </c>
      <c r="AM45" s="4" cm="1">
        <f t="array" ref="AM45">IF(AQ45&lt;10,0,INDEX(trust_indicator_data!$A$2:$BE$127,(ROW()-ROW(trust_indicator_data!$A$1:$BE$1)),MATCH(selected_indic_name_unadj,trust_indicator_data!$A$1:$BE$1,0)))</f>
        <v>45.238094329833984</v>
      </c>
      <c r="AN45" s="4">
        <f t="shared" si="11"/>
        <v>38</v>
      </c>
      <c r="AP45" s="4">
        <f>RANK(trust_indicator_data!$AQ45,AQ:AQ,1)+COUNTIF($AQ$2:AQ45,AQ45)-1</f>
        <v>59</v>
      </c>
      <c r="AQ45" s="4" cm="1">
        <f t="array" ref="AQ45">INDEX(trust_indicator_data!$A$2:$BE$127,(ROW()-ROW(trust_indicator_data!$A$1:$BE$1)),MATCH(selected_indic_denom,trust_indicator_data!$A$1:$BE$1,0))</f>
        <v>232</v>
      </c>
      <c r="AR45" s="4" cm="1">
        <f t="array" ref="AR45">INDEX(trust_indicator_data!$A$2:$BE$127,(ROW()-ROW(trust_indicator_data!$A$1:$BE$1)),MATCH(selected_indic_name_unadj,trust_indicator_data!$A$1:$BE$1,0))/100</f>
        <v>0.45238094329833983</v>
      </c>
      <c r="AS45" s="4">
        <f>IF(AQ45&lt;10,NA(),trust_indicator_data!$AR45)</f>
        <v>0.45238094329833983</v>
      </c>
      <c r="AU45" s="4">
        <f>INDEX(table_national_indic,MATCH($AU$1,national_indicator_data!$A$1:$A$17,0),MATCH(selected_indic_name_unadj,national_indicator_data!$A$1:$R$1,0))</f>
        <v>0.47675243377685544</v>
      </c>
      <c r="AV45" s="4">
        <f>INDEX(table_national_indic,MATCH($AV$1,national_indicator_data!$A$1:$A$7,0),MATCH(selected_indic_name_unadj,national_indicator_data!$A$1:$R$1,0))</f>
        <v>0.76214221292766271</v>
      </c>
      <c r="AW45" s="4">
        <f t="shared" si="22"/>
        <v>0.69648899649780138</v>
      </c>
      <c r="AX45" s="4">
        <f t="shared" si="23"/>
        <v>0.82779542935752404</v>
      </c>
      <c r="AY45" s="4">
        <f t="shared" si="24"/>
        <v>0.66366238828287083</v>
      </c>
      <c r="AZ45" s="4">
        <f t="shared" si="25"/>
        <v>0.86062203757245459</v>
      </c>
      <c r="BA45" s="4">
        <f>INDEX(table_national_indic,MATCH($BA$1,national_indicator_data!$A$1:$A$7,0),MATCH(selected_indic_name_unadj,national_indicator_data!$A$1:$R$1,0))</f>
        <v>0</v>
      </c>
      <c r="BB45" s="4">
        <f t="shared" si="26"/>
        <v>0.41155863473162391</v>
      </c>
      <c r="BC45" s="4">
        <f t="shared" si="12"/>
        <v>0.54234647736929364</v>
      </c>
      <c r="BD45" s="4">
        <f t="shared" si="13"/>
        <v>0.37946338206555236</v>
      </c>
      <c r="BE45" s="4">
        <f t="shared" si="14"/>
        <v>0.57494041904895998</v>
      </c>
      <c r="BG45">
        <f t="shared" si="28"/>
        <v>44</v>
      </c>
      <c r="BH45">
        <f t="shared" si="27"/>
        <v>202</v>
      </c>
      <c r="BI45" s="42">
        <f t="shared" si="16"/>
        <v>0.46596858978271483</v>
      </c>
      <c r="BJ45" s="42">
        <f t="shared" si="17"/>
        <v>0.40693029628885818</v>
      </c>
      <c r="BK45" s="42">
        <f t="shared" si="18"/>
        <v>0.54703415996218629</v>
      </c>
      <c r="BL45" s="42">
        <f t="shared" si="19"/>
        <v>0.37262403316628084</v>
      </c>
      <c r="BM45" s="42">
        <f t="shared" si="20"/>
        <v>0.58191277702019717</v>
      </c>
      <c r="BN45" s="42">
        <f t="shared" si="21"/>
        <v>0.47675243377685544</v>
      </c>
    </row>
    <row r="46" spans="1:66" x14ac:dyDescent="0.25">
      <c r="A46" t="s">
        <v>254</v>
      </c>
      <c r="B46" t="s">
        <v>253</v>
      </c>
      <c r="C46" t="s">
        <v>77</v>
      </c>
      <c r="D46" t="s">
        <v>75</v>
      </c>
      <c r="E46" s="2">
        <v>629</v>
      </c>
      <c r="F46" s="2">
        <v>580</v>
      </c>
      <c r="G46" s="2">
        <v>43</v>
      </c>
      <c r="H46" s="2">
        <v>174</v>
      </c>
      <c r="I46" s="2">
        <v>195</v>
      </c>
      <c r="J46" s="2">
        <v>92</v>
      </c>
      <c r="K46" s="2">
        <v>46</v>
      </c>
      <c r="L46" s="2">
        <v>35.871402740478516</v>
      </c>
      <c r="M46" s="46" t="str">
        <f t="shared" si="6"/>
        <v>NRA*</v>
      </c>
      <c r="N46" s="2">
        <v>57.023410797119141</v>
      </c>
      <c r="O46" s="46" t="str">
        <f t="shared" si="7"/>
        <v>NRA*</v>
      </c>
      <c r="P46" s="2">
        <v>100</v>
      </c>
      <c r="Q46" s="46" t="str">
        <f t="shared" si="8"/>
        <v>NRA*</v>
      </c>
      <c r="R46" s="2">
        <v>19.655172348022461</v>
      </c>
      <c r="S46" s="2">
        <v>11.685169219970703</v>
      </c>
      <c r="T46" s="2">
        <v>67.441864013671875</v>
      </c>
      <c r="U46" s="4">
        <v>64.760475158691406</v>
      </c>
      <c r="V46" s="2">
        <v>89.74359130859375</v>
      </c>
      <c r="W46" s="2">
        <v>79.854881286621094</v>
      </c>
      <c r="X46" s="2">
        <v>71.739128112792969</v>
      </c>
      <c r="Y46" s="2">
        <v>67.476295471191406</v>
      </c>
      <c r="Z46" s="2">
        <v>55.434783935546875</v>
      </c>
      <c r="AA46" s="2">
        <v>49.923507690429688</v>
      </c>
      <c r="AB46" s="2">
        <v>84.912956237792969</v>
      </c>
      <c r="AC46" s="46" t="str">
        <f t="shared" si="9"/>
        <v>NRA*</v>
      </c>
      <c r="AD46" s="2">
        <v>42.803031921386719</v>
      </c>
      <c r="AE46" s="2">
        <v>51.793159484863281</v>
      </c>
      <c r="AF46" s="2"/>
      <c r="AG46" s="34">
        <f t="shared" si="10"/>
        <v>629</v>
      </c>
      <c r="AH46" s="34" t="str" cm="1">
        <f t="array" ref="AH46">IF(AG46="NR**","NR**",INDEX(trust_indicator_data!$A$2:$BE$127,(ROW()-ROW(trust_indicator_data!$A$1:$BE$1)),MATCH(selected_indic_name_adj,trust_indicator_data!$A$1:$BE$1,0)))</f>
        <v>NRA*</v>
      </c>
      <c r="AI46" s="34" t="str">
        <f>IF(AG46="NR**","NR**",IF(AH46="NRA*","NRA*",RANK(AH46,AH:AH,1)+COUNTIF($AH$2:AH46,AH46)-1))</f>
        <v>NRA*</v>
      </c>
      <c r="AJ46" s="34" cm="1">
        <f t="array" ref="AJ46">IF(AG46="NR**","NR**",INDEX(trust_indicator_data!$A$2:$BE$127,(ROW()-ROW(trust_indicator_data!$A$1:$BE$1)),MATCH(selected_indic_name_unadj,trust_indicator_data!$A$1:$BE$1,0)))</f>
        <v>35.871402740478516</v>
      </c>
      <c r="AK46" s="34">
        <f>IF(AG46="NR**","NR**",RANK(trust_indicator_data!AJ46,AJ:AJ,1)+COUNTIF($AJ$2:AJ46,AJ46)-1)</f>
        <v>9</v>
      </c>
      <c r="AM46" s="34" cm="1">
        <f t="array" ref="AM46">IF(AQ46&lt;10,0,INDEX(trust_indicator_data!$A$2:$BE$127,(ROW()-ROW(trust_indicator_data!$A$1:$BE$1)),MATCH(selected_indic_name_unadj,trust_indicator_data!$A$1:$BE$1,0)))</f>
        <v>35.871402740478516</v>
      </c>
      <c r="AN46" s="34">
        <f t="shared" si="11"/>
        <v>9</v>
      </c>
      <c r="AP46" s="34">
        <f>RANK(trust_indicator_data!$AQ46,AQ:AQ,1)+COUNTIF($AQ$2:AQ46,AQ46)-1</f>
        <v>124</v>
      </c>
      <c r="AQ46" s="34" cm="1">
        <f t="array" ref="AQ46">INDEX(trust_indicator_data!$A$2:$BE$127,(ROW()-ROW(trust_indicator_data!$A$1:$BE$1)),MATCH(selected_indic_denom,trust_indicator_data!$A$1:$BE$1,0))</f>
        <v>629</v>
      </c>
      <c r="AR46" s="34" cm="1">
        <f t="array" ref="AR46">INDEX(trust_indicator_data!$A$2:$BE$127,(ROW()-ROW(trust_indicator_data!$A$1:$BE$1)),MATCH(selected_indic_name_unadj,trust_indicator_data!$A$1:$BE$1,0))/100</f>
        <v>0.35871402740478514</v>
      </c>
      <c r="AS46" s="34">
        <f>IF(AQ46&lt;10,NA(),trust_indicator_data!$AR46)</f>
        <v>0.35871402740478514</v>
      </c>
      <c r="AU46" s="34">
        <f>INDEX(table_national_indic,MATCH($AU$1,national_indicator_data!$A$1:$A$17,0),MATCH(selected_indic_name_unadj,national_indicator_data!$A$1:$R$1,0))</f>
        <v>0.47675243377685544</v>
      </c>
      <c r="AV46" s="34">
        <f>INDEX(table_national_indic,MATCH($AV$1,national_indicator_data!$A$1:$A$7,0),MATCH(selected_indic_name_unadj,national_indicator_data!$A$1:$R$1,0))</f>
        <v>0.76214221292766271</v>
      </c>
      <c r="AW46" s="34">
        <f t="shared" si="22"/>
        <v>0.72226960178621769</v>
      </c>
      <c r="AX46" s="34">
        <f t="shared" si="23"/>
        <v>0.80201482406910773</v>
      </c>
      <c r="AY46" s="34">
        <f t="shared" si="24"/>
        <v>0.70233329621549523</v>
      </c>
      <c r="AZ46" s="34">
        <f t="shared" si="25"/>
        <v>0.82195112963983019</v>
      </c>
      <c r="BA46" s="34">
        <f>INDEX(table_national_indic,MATCH($BA$1,national_indicator_data!$A$1:$A$7,0),MATCH(selected_indic_name_unadj,national_indicator_data!$A$1:$R$1,0))</f>
        <v>0</v>
      </c>
      <c r="BB46" s="34">
        <f t="shared" si="26"/>
        <v>0.43703902536497663</v>
      </c>
      <c r="BC46" s="34">
        <f t="shared" si="12"/>
        <v>0.51661360211865104</v>
      </c>
      <c r="BD46" s="34">
        <f t="shared" si="13"/>
        <v>0.41731669167546892</v>
      </c>
      <c r="BE46" s="34">
        <f t="shared" si="14"/>
        <v>0.53652041552514695</v>
      </c>
      <c r="BG46">
        <f t="shared" si="28"/>
        <v>45</v>
      </c>
      <c r="BH46">
        <f t="shared" si="27"/>
        <v>208</v>
      </c>
      <c r="BI46" s="42">
        <f t="shared" si="16"/>
        <v>0.58208953857421875</v>
      </c>
      <c r="BJ46" s="42">
        <f t="shared" si="17"/>
        <v>0.40793485487975922</v>
      </c>
      <c r="BK46" s="42">
        <f t="shared" si="18"/>
        <v>0.54601636525821517</v>
      </c>
      <c r="BL46" s="42">
        <f t="shared" si="19"/>
        <v>0.37410738420848461</v>
      </c>
      <c r="BM46" s="42">
        <f t="shared" si="20"/>
        <v>0.58039976582145103</v>
      </c>
      <c r="BN46" s="42">
        <f t="shared" si="21"/>
        <v>0.47675243377685544</v>
      </c>
    </row>
    <row r="47" spans="1:66" x14ac:dyDescent="0.25">
      <c r="A47" t="s">
        <v>184</v>
      </c>
      <c r="B47" t="s">
        <v>183</v>
      </c>
      <c r="C47" t="s">
        <v>57</v>
      </c>
      <c r="D47" t="s">
        <v>55</v>
      </c>
      <c r="E47" s="2">
        <v>258</v>
      </c>
      <c r="F47" s="2">
        <v>238</v>
      </c>
      <c r="G47" s="2">
        <v>19</v>
      </c>
      <c r="H47" s="2">
        <v>36</v>
      </c>
      <c r="I47" s="2">
        <v>43</v>
      </c>
      <c r="J47" s="2">
        <v>57</v>
      </c>
      <c r="K47" s="2">
        <v>17</v>
      </c>
      <c r="L47" s="2">
        <v>52.301254272460938</v>
      </c>
      <c r="M47" s="46" t="str">
        <f t="shared" si="6"/>
        <v>NRA*</v>
      </c>
      <c r="N47" s="2">
        <v>50.216449737548828</v>
      </c>
      <c r="O47" s="46" t="str">
        <f t="shared" si="7"/>
        <v>NRA*</v>
      </c>
      <c r="P47" s="2">
        <v>77.777778625488281</v>
      </c>
      <c r="Q47" s="46" t="str">
        <f t="shared" si="8"/>
        <v>NRA*</v>
      </c>
      <c r="R47" s="2">
        <v>12.605042457580566</v>
      </c>
      <c r="S47" s="2">
        <v>15.086797714233398</v>
      </c>
      <c r="T47" s="2">
        <v>63.157894134521484</v>
      </c>
      <c r="U47" s="4">
        <v>75.90478515625</v>
      </c>
      <c r="V47" s="2">
        <v>69.767440795898438</v>
      </c>
      <c r="W47" s="2">
        <v>70.196975708007813</v>
      </c>
      <c r="X47" s="2">
        <v>58.823528289794922</v>
      </c>
      <c r="Y47" s="2">
        <v>65.0882568359375</v>
      </c>
      <c r="Z47" s="2">
        <v>77.192985534667969</v>
      </c>
      <c r="AA47" s="2">
        <v>72.196083068847656</v>
      </c>
      <c r="AB47" s="2">
        <v>98.295455932617188</v>
      </c>
      <c r="AC47" s="46" t="str">
        <f t="shared" si="9"/>
        <v>NRA*</v>
      </c>
      <c r="AD47" s="2">
        <v>35.408561706542969</v>
      </c>
      <c r="AE47" s="2">
        <v>33.361431121826172</v>
      </c>
      <c r="AF47" s="2"/>
      <c r="AG47" s="4">
        <f t="shared" si="10"/>
        <v>258</v>
      </c>
      <c r="AH47" s="4" t="str" cm="1">
        <f t="array" ref="AH47">IF(AG47="NR**","NR**",INDEX(trust_indicator_data!$A$2:$BE$127,(ROW()-ROW(trust_indicator_data!$A$1:$BE$1)),MATCH(selected_indic_name_adj,trust_indicator_data!$A$1:$BE$1,0)))</f>
        <v>NRA*</v>
      </c>
      <c r="AI47" s="4" t="str">
        <f>IF(AG47="NR**","NR**",IF(AH47="NRA*","NRA*",RANK(AH47,AH:AH,1)+COUNTIF($AH$2:AH47,AH47)-1))</f>
        <v>NRA*</v>
      </c>
      <c r="AJ47" s="4" cm="1">
        <f t="array" ref="AJ47">IF(AG47="NR**","NR**",INDEX(trust_indicator_data!$A$2:$BE$127,(ROW()-ROW(trust_indicator_data!$A$1:$BE$1)),MATCH(selected_indic_name_unadj,trust_indicator_data!$A$1:$BE$1,0)))</f>
        <v>52.301254272460938</v>
      </c>
      <c r="AK47" s="4">
        <f>IF(AG47="NR**","NR**",RANK(trust_indicator_data!AJ47,AJ:AJ,1)+COUNTIF($AJ$2:AJ47,AJ47)-1)</f>
        <v>84</v>
      </c>
      <c r="AM47" s="4" cm="1">
        <f t="array" ref="AM47">IF(AQ47&lt;10,0,INDEX(trust_indicator_data!$A$2:$BE$127,(ROW()-ROW(trust_indicator_data!$A$1:$BE$1)),MATCH(selected_indic_name_unadj,trust_indicator_data!$A$1:$BE$1,0)))</f>
        <v>52.301254272460938</v>
      </c>
      <c r="AN47" s="4">
        <f t="shared" si="11"/>
        <v>84</v>
      </c>
      <c r="AP47" s="4">
        <f>RANK(trust_indicator_data!$AQ47,AQ:AQ,1)+COUNTIF($AQ$2:AQ47,AQ47)-1</f>
        <v>70</v>
      </c>
      <c r="AQ47" s="4" cm="1">
        <f t="array" ref="AQ47">INDEX(trust_indicator_data!$A$2:$BE$127,(ROW()-ROW(trust_indicator_data!$A$1:$BE$1)),MATCH(selected_indic_denom,trust_indicator_data!$A$1:$BE$1,0))</f>
        <v>258</v>
      </c>
      <c r="AR47" s="4" cm="1">
        <f t="array" ref="AR47">INDEX(trust_indicator_data!$A$2:$BE$127,(ROW()-ROW(trust_indicator_data!$A$1:$BE$1)),MATCH(selected_indic_name_unadj,trust_indicator_data!$A$1:$BE$1,0))/100</f>
        <v>0.5230125427246094</v>
      </c>
      <c r="AS47" s="4">
        <f>IF(AQ47&lt;10,NA(),trust_indicator_data!$AR47)</f>
        <v>0.5230125427246094</v>
      </c>
      <c r="AU47" s="4">
        <f>INDEX(table_national_indic,MATCH($AU$1,national_indicator_data!$A$1:$A$17,0),MATCH(selected_indic_name_unadj,national_indicator_data!$A$1:$R$1,0))</f>
        <v>0.47675243377685544</v>
      </c>
      <c r="AV47" s="4">
        <f>INDEX(table_national_indic,MATCH($AV$1,national_indicator_data!$A$1:$A$7,0),MATCH(selected_indic_name_unadj,national_indicator_data!$A$1:$R$1,0))</f>
        <v>0.76214221292766271</v>
      </c>
      <c r="AW47" s="4">
        <f t="shared" si="22"/>
        <v>0.69988493229119364</v>
      </c>
      <c r="AX47" s="4">
        <f t="shared" si="23"/>
        <v>0.82439949356413178</v>
      </c>
      <c r="AY47" s="4">
        <f t="shared" si="24"/>
        <v>0.66875629197295916</v>
      </c>
      <c r="AZ47" s="4">
        <f t="shared" si="25"/>
        <v>0.85552813388236626</v>
      </c>
      <c r="BA47" s="4">
        <f>INDEX(table_national_indic,MATCH($BA$1,national_indicator_data!$A$1:$A$7,0),MATCH(selected_indic_name_unadj,national_indicator_data!$A$1:$R$1,0))</f>
        <v>0</v>
      </c>
      <c r="BB47" s="4">
        <f t="shared" si="26"/>
        <v>0.41490303735876999</v>
      </c>
      <c r="BC47" s="4">
        <f t="shared" si="12"/>
        <v>0.53896179215038031</v>
      </c>
      <c r="BD47" s="4">
        <f t="shared" si="13"/>
        <v>0.38441322064244593</v>
      </c>
      <c r="BE47" s="4">
        <f t="shared" si="14"/>
        <v>0.56990025381666221</v>
      </c>
      <c r="BG47">
        <f t="shared" si="28"/>
        <v>46</v>
      </c>
      <c r="BH47">
        <f t="shared" si="27"/>
        <v>211</v>
      </c>
      <c r="BI47" s="42">
        <f t="shared" si="16"/>
        <v>0.50931678771972655</v>
      </c>
      <c r="BJ47" s="42">
        <f t="shared" si="17"/>
        <v>0.40842112709703116</v>
      </c>
      <c r="BK47" s="42">
        <f t="shared" si="18"/>
        <v>0.54552375682463972</v>
      </c>
      <c r="BL47" s="42">
        <f t="shared" si="19"/>
        <v>0.37482564492721754</v>
      </c>
      <c r="BM47" s="42">
        <f t="shared" si="20"/>
        <v>0.57966730533187749</v>
      </c>
      <c r="BN47" s="42">
        <f t="shared" si="21"/>
        <v>0.47675243377685544</v>
      </c>
    </row>
    <row r="48" spans="1:66" x14ac:dyDescent="0.25">
      <c r="A48" t="s">
        <v>122</v>
      </c>
      <c r="B48" t="s">
        <v>121</v>
      </c>
      <c r="C48" t="s">
        <v>18</v>
      </c>
      <c r="D48" t="s">
        <v>16</v>
      </c>
      <c r="E48" s="2">
        <v>350</v>
      </c>
      <c r="F48" s="2">
        <v>318</v>
      </c>
      <c r="G48" s="2">
        <v>27</v>
      </c>
      <c r="H48" s="2">
        <v>87</v>
      </c>
      <c r="I48" s="2">
        <v>109</v>
      </c>
      <c r="J48" s="2">
        <v>50</v>
      </c>
      <c r="K48" s="2">
        <v>31</v>
      </c>
      <c r="L48" s="2">
        <v>32.580646514892578</v>
      </c>
      <c r="M48" s="46" t="str">
        <f t="shared" si="6"/>
        <v>NRA*</v>
      </c>
      <c r="N48" s="2">
        <v>64.144737243652344</v>
      </c>
      <c r="O48" s="46" t="str">
        <f t="shared" si="7"/>
        <v>NRA*</v>
      </c>
      <c r="P48" s="2">
        <v>89.655174255371094</v>
      </c>
      <c r="Q48" s="46" t="str">
        <f t="shared" si="8"/>
        <v>NRA*</v>
      </c>
      <c r="R48" s="2">
        <v>37.735847473144531</v>
      </c>
      <c r="S48" s="2">
        <v>21.689228057861328</v>
      </c>
      <c r="T48" s="2">
        <v>77.777778625488281</v>
      </c>
      <c r="U48" s="4">
        <v>75.565139770507813</v>
      </c>
      <c r="V48" s="2">
        <v>87.155960083007813</v>
      </c>
      <c r="W48" s="2">
        <v>82.774948120117188</v>
      </c>
      <c r="X48" s="2">
        <v>77.419357299804688</v>
      </c>
      <c r="Y48" s="2">
        <v>72.56640625</v>
      </c>
      <c r="Z48" s="2">
        <v>64</v>
      </c>
      <c r="AA48" s="2">
        <v>60.817550659179688</v>
      </c>
      <c r="AB48" s="2">
        <v>95.673080444335938</v>
      </c>
      <c r="AC48" s="46" t="str">
        <f t="shared" si="9"/>
        <v>NRA*</v>
      </c>
      <c r="AD48" s="2">
        <v>15.249266624450684</v>
      </c>
      <c r="AE48" s="2">
        <v>18.504724502563477</v>
      </c>
      <c r="AF48" s="2"/>
      <c r="AG48" s="34">
        <f t="shared" si="10"/>
        <v>350</v>
      </c>
      <c r="AH48" s="34" t="str" cm="1">
        <f t="array" ref="AH48">IF(AG48="NR**","NR**",INDEX(trust_indicator_data!$A$2:$BE$127,(ROW()-ROW(trust_indicator_data!$A$1:$BE$1)),MATCH(selected_indic_name_adj,trust_indicator_data!$A$1:$BE$1,0)))</f>
        <v>NRA*</v>
      </c>
      <c r="AI48" s="34" t="str">
        <f>IF(AG48="NR**","NR**",IF(AH48="NRA*","NRA*",RANK(AH48,AH:AH,1)+COUNTIF($AH$2:AH48,AH48)-1))</f>
        <v>NRA*</v>
      </c>
      <c r="AJ48" s="34" cm="1">
        <f t="array" ref="AJ48">IF(AG48="NR**","NR**",INDEX(trust_indicator_data!$A$2:$BE$127,(ROW()-ROW(trust_indicator_data!$A$1:$BE$1)),MATCH(selected_indic_name_unadj,trust_indicator_data!$A$1:$BE$1,0)))</f>
        <v>32.580646514892578</v>
      </c>
      <c r="AK48" s="34">
        <f>IF(AG48="NR**","NR**",RANK(trust_indicator_data!AJ48,AJ:AJ,1)+COUNTIF($AJ$2:AJ48,AJ48)-1)</f>
        <v>6</v>
      </c>
      <c r="AM48" s="34" cm="1">
        <f t="array" ref="AM48">IF(AQ48&lt;10,0,INDEX(trust_indicator_data!$A$2:$BE$127,(ROW()-ROW(trust_indicator_data!$A$1:$BE$1)),MATCH(selected_indic_name_unadj,trust_indicator_data!$A$1:$BE$1,0)))</f>
        <v>32.580646514892578</v>
      </c>
      <c r="AN48" s="34">
        <f t="shared" si="11"/>
        <v>6</v>
      </c>
      <c r="AP48" s="34">
        <f>RANK(trust_indicator_data!$AQ48,AQ:AQ,1)+COUNTIF($AQ$2:AQ48,AQ48)-1</f>
        <v>96</v>
      </c>
      <c r="AQ48" s="34" cm="1">
        <f t="array" ref="AQ48">INDEX(trust_indicator_data!$A$2:$BE$127,(ROW()-ROW(trust_indicator_data!$A$1:$BE$1)),MATCH(selected_indic_denom,trust_indicator_data!$A$1:$BE$1,0))</f>
        <v>350</v>
      </c>
      <c r="AR48" s="34" cm="1">
        <f t="array" ref="AR48">INDEX(trust_indicator_data!$A$2:$BE$127,(ROW()-ROW(trust_indicator_data!$A$1:$BE$1)),MATCH(selected_indic_name_unadj,trust_indicator_data!$A$1:$BE$1,0))/100</f>
        <v>0.32580646514892581</v>
      </c>
      <c r="AS48" s="34">
        <f>IF(AQ48&lt;10,NA(),trust_indicator_data!$AR48)</f>
        <v>0.32580646514892581</v>
      </c>
      <c r="AU48" s="34">
        <f>INDEX(table_national_indic,MATCH($AU$1,national_indicator_data!$A$1:$A$17,0),MATCH(selected_indic_name_unadj,national_indicator_data!$A$1:$R$1,0))</f>
        <v>0.47675243377685544</v>
      </c>
      <c r="AV48" s="34">
        <f>INDEX(table_national_indic,MATCH($AV$1,national_indicator_data!$A$1:$A$7,0),MATCH(selected_indic_name_unadj,national_indicator_data!$A$1:$R$1,0))</f>
        <v>0.76214221292766271</v>
      </c>
      <c r="AW48" s="34">
        <f t="shared" si="22"/>
        <v>0.70868996454517785</v>
      </c>
      <c r="AX48" s="34">
        <f t="shared" si="23"/>
        <v>0.81559446131014757</v>
      </c>
      <c r="AY48" s="34">
        <f t="shared" si="24"/>
        <v>0.68196384035393542</v>
      </c>
      <c r="AZ48" s="34">
        <f t="shared" si="25"/>
        <v>0.84232058550139</v>
      </c>
      <c r="BA48" s="34">
        <f>INDEX(table_national_indic,MATCH($BA$1,national_indicator_data!$A$1:$A$7,0),MATCH(selected_indic_name_unadj,national_indicator_data!$A$1:$R$1,0))</f>
        <v>0</v>
      </c>
      <c r="BB48" s="34">
        <f t="shared" si="26"/>
        <v>0.42359235547992441</v>
      </c>
      <c r="BC48" s="34">
        <f t="shared" si="12"/>
        <v>0.53017794560654796</v>
      </c>
      <c r="BD48" s="34">
        <f t="shared" si="13"/>
        <v>0.39730183904697969</v>
      </c>
      <c r="BE48" s="34">
        <f t="shared" si="14"/>
        <v>0.55679954317589797</v>
      </c>
      <c r="BG48">
        <f t="shared" si="28"/>
        <v>47</v>
      </c>
      <c r="BH48">
        <f t="shared" si="27"/>
        <v>211</v>
      </c>
      <c r="BI48" s="42">
        <f t="shared" si="16"/>
        <v>0.4339622497558594</v>
      </c>
      <c r="BJ48" s="42">
        <f t="shared" si="17"/>
        <v>0.40842112709703116</v>
      </c>
      <c r="BK48" s="42">
        <f t="shared" si="18"/>
        <v>0.54552375682463972</v>
      </c>
      <c r="BL48" s="42">
        <f t="shared" si="19"/>
        <v>0.37482564492721754</v>
      </c>
      <c r="BM48" s="42">
        <f t="shared" si="20"/>
        <v>0.57966730533187749</v>
      </c>
      <c r="BN48" s="42">
        <f t="shared" si="21"/>
        <v>0.47675243377685544</v>
      </c>
    </row>
    <row r="49" spans="1:66" x14ac:dyDescent="0.25">
      <c r="A49" t="s">
        <v>148</v>
      </c>
      <c r="B49" t="s">
        <v>147</v>
      </c>
      <c r="C49" t="s">
        <v>18</v>
      </c>
      <c r="D49" t="s">
        <v>16</v>
      </c>
      <c r="E49" s="2">
        <v>359</v>
      </c>
      <c r="F49" s="2">
        <v>326</v>
      </c>
      <c r="G49" s="2">
        <v>32</v>
      </c>
      <c r="H49" s="2">
        <v>53</v>
      </c>
      <c r="I49" s="2">
        <v>62</v>
      </c>
      <c r="J49" s="2">
        <v>68</v>
      </c>
      <c r="K49" s="2">
        <v>21</v>
      </c>
      <c r="L49" s="2">
        <v>48.163265228271484</v>
      </c>
      <c r="M49" s="46" t="str">
        <f t="shared" si="6"/>
        <v>NRA*</v>
      </c>
      <c r="N49" s="2">
        <v>61.151077270507813</v>
      </c>
      <c r="O49" s="46" t="str">
        <f t="shared" si="7"/>
        <v>NRA*</v>
      </c>
      <c r="P49" s="2">
        <v>84.905662536621094</v>
      </c>
      <c r="Q49" s="46" t="str">
        <f t="shared" si="8"/>
        <v>NRA*</v>
      </c>
      <c r="R49" s="2">
        <v>17.177913665771484</v>
      </c>
      <c r="S49" s="2">
        <v>18.565309524536133</v>
      </c>
      <c r="T49" s="2">
        <v>71.875</v>
      </c>
      <c r="U49" s="4">
        <v>71.109779357910156</v>
      </c>
      <c r="V49" s="2">
        <v>90.322578430175781</v>
      </c>
      <c r="W49" s="2">
        <v>86.543342590332031</v>
      </c>
      <c r="X49" s="2">
        <v>66.666664123535156</v>
      </c>
      <c r="Y49" s="2">
        <v>64.638679504394531</v>
      </c>
      <c r="Z49" s="2">
        <v>70.588233947753906</v>
      </c>
      <c r="AA49" s="2">
        <v>66.437881469726563</v>
      </c>
      <c r="AB49" s="2">
        <v>97.448982238769531</v>
      </c>
      <c r="AC49" s="46" t="str">
        <f t="shared" si="9"/>
        <v>NRA*</v>
      </c>
      <c r="AD49" s="2">
        <v>30.252099990844727</v>
      </c>
      <c r="AE49" s="2">
        <v>29.103866577148438</v>
      </c>
      <c r="AF49" s="2"/>
      <c r="AG49" s="4">
        <f t="shared" si="10"/>
        <v>359</v>
      </c>
      <c r="AH49" s="4" t="str" cm="1">
        <f t="array" ref="AH49">IF(AG49="NR**","NR**",INDEX(trust_indicator_data!$A$2:$BE$127,(ROW()-ROW(trust_indicator_data!$A$1:$BE$1)),MATCH(selected_indic_name_adj,trust_indicator_data!$A$1:$BE$1,0)))</f>
        <v>NRA*</v>
      </c>
      <c r="AI49" s="4" t="str">
        <f>IF(AG49="NR**","NR**",IF(AH49="NRA*","NRA*",RANK(AH49,AH:AH,1)+COUNTIF($AH$2:AH49,AH49)-1))</f>
        <v>NRA*</v>
      </c>
      <c r="AJ49" s="4" cm="1">
        <f t="array" ref="AJ49">IF(AG49="NR**","NR**",INDEX(trust_indicator_data!$A$2:$BE$127,(ROW()-ROW(trust_indicator_data!$A$1:$BE$1)),MATCH(selected_indic_name_unadj,trust_indicator_data!$A$1:$BE$1,0)))</f>
        <v>48.163265228271484</v>
      </c>
      <c r="AK49" s="4">
        <f>IF(AG49="NR**","NR**",RANK(trust_indicator_data!AJ49,AJ:AJ,1)+COUNTIF($AJ$2:AJ49,AJ49)-1)</f>
        <v>54</v>
      </c>
      <c r="AM49" s="4" cm="1">
        <f t="array" ref="AM49">IF(AQ49&lt;10,0,INDEX(trust_indicator_data!$A$2:$BE$127,(ROW()-ROW(trust_indicator_data!$A$1:$BE$1)),MATCH(selected_indic_name_unadj,trust_indicator_data!$A$1:$BE$1,0)))</f>
        <v>48.163265228271484</v>
      </c>
      <c r="AN49" s="4">
        <f t="shared" si="11"/>
        <v>54</v>
      </c>
      <c r="AP49" s="4">
        <f>RANK(trust_indicator_data!$AQ49,AQ:AQ,1)+COUNTIF($AQ$2:AQ49,AQ49)-1</f>
        <v>100</v>
      </c>
      <c r="AQ49" s="4" cm="1">
        <f t="array" ref="AQ49">INDEX(trust_indicator_data!$A$2:$BE$127,(ROW()-ROW(trust_indicator_data!$A$1:$BE$1)),MATCH(selected_indic_denom,trust_indicator_data!$A$1:$BE$1,0))</f>
        <v>359</v>
      </c>
      <c r="AR49" s="4" cm="1">
        <f t="array" ref="AR49">INDEX(trust_indicator_data!$A$2:$BE$127,(ROW()-ROW(trust_indicator_data!$A$1:$BE$1)),MATCH(selected_indic_name_unadj,trust_indicator_data!$A$1:$BE$1,0))/100</f>
        <v>0.48163265228271485</v>
      </c>
      <c r="AS49" s="4">
        <f>IF(AQ49&lt;10,NA(),trust_indicator_data!$AR49)</f>
        <v>0.48163265228271485</v>
      </c>
      <c r="AU49" s="4">
        <f>INDEX(table_national_indic,MATCH($AU$1,national_indicator_data!$A$1:$A$17,0),MATCH(selected_indic_name_unadj,national_indicator_data!$A$1:$R$1,0))</f>
        <v>0.47675243377685544</v>
      </c>
      <c r="AV49" s="4">
        <f>INDEX(table_national_indic,MATCH($AV$1,national_indicator_data!$A$1:$A$7,0),MATCH(selected_indic_name_unadj,national_indicator_data!$A$1:$R$1,0))</f>
        <v>0.76214221292766271</v>
      </c>
      <c r="AW49" s="4">
        <f t="shared" si="22"/>
        <v>0.7093642315307368</v>
      </c>
      <c r="AX49" s="4">
        <f t="shared" si="23"/>
        <v>0.81492019432458862</v>
      </c>
      <c r="AY49" s="4">
        <f t="shared" si="24"/>
        <v>0.68297524083227379</v>
      </c>
      <c r="AZ49" s="4">
        <f t="shared" si="25"/>
        <v>0.84130918502305163</v>
      </c>
      <c r="BA49" s="4">
        <f>INDEX(table_national_indic,MATCH($BA$1,national_indicator_data!$A$1:$A$7,0),MATCH(selected_indic_name_unadj,national_indicator_data!$A$1:$R$1,0))</f>
        <v>0</v>
      </c>
      <c r="BB49" s="4">
        <f t="shared" si="26"/>
        <v>0.4242587723169885</v>
      </c>
      <c r="BC49" s="4">
        <f t="shared" si="12"/>
        <v>0.52950488062674439</v>
      </c>
      <c r="BD49" s="4">
        <f t="shared" si="13"/>
        <v>0.39829188476591504</v>
      </c>
      <c r="BE49" s="4">
        <f t="shared" si="14"/>
        <v>0.55579457430608092</v>
      </c>
      <c r="BG49">
        <f t="shared" si="28"/>
        <v>48</v>
      </c>
      <c r="BH49">
        <f t="shared" si="27"/>
        <v>211</v>
      </c>
      <c r="BI49" s="42">
        <f t="shared" si="16"/>
        <v>0.54594593048095708</v>
      </c>
      <c r="BJ49" s="42">
        <f t="shared" si="17"/>
        <v>0.40842112709703116</v>
      </c>
      <c r="BK49" s="42">
        <f t="shared" si="18"/>
        <v>0.54552375682463972</v>
      </c>
      <c r="BL49" s="42">
        <f t="shared" si="19"/>
        <v>0.37482564492721754</v>
      </c>
      <c r="BM49" s="42">
        <f t="shared" si="20"/>
        <v>0.57966730533187749</v>
      </c>
      <c r="BN49" s="42">
        <f t="shared" si="21"/>
        <v>0.47675243377685544</v>
      </c>
    </row>
    <row r="50" spans="1:66" x14ac:dyDescent="0.25">
      <c r="A50" t="s">
        <v>91</v>
      </c>
      <c r="B50" t="s">
        <v>90</v>
      </c>
      <c r="C50" t="s">
        <v>512</v>
      </c>
      <c r="D50" t="s">
        <v>70</v>
      </c>
      <c r="E50" s="2">
        <v>199</v>
      </c>
      <c r="F50" s="2">
        <v>187</v>
      </c>
      <c r="G50" s="2">
        <v>11</v>
      </c>
      <c r="H50" s="2">
        <v>15</v>
      </c>
      <c r="I50" s="2">
        <v>15</v>
      </c>
      <c r="J50" s="2">
        <v>31</v>
      </c>
      <c r="K50" s="2">
        <v>11</v>
      </c>
      <c r="L50" s="2">
        <v>53.571430206298828</v>
      </c>
      <c r="M50" s="46" t="str">
        <f t="shared" si="6"/>
        <v>NRA*</v>
      </c>
      <c r="N50" s="2">
        <v>59.863945007324219</v>
      </c>
      <c r="O50" s="46" t="str">
        <f t="shared" si="7"/>
        <v>NRA*</v>
      </c>
      <c r="P50" s="2">
        <v>93.333335876464844</v>
      </c>
      <c r="Q50" s="46" t="str">
        <f t="shared" si="8"/>
        <v>NRA*</v>
      </c>
      <c r="R50" s="2">
        <v>18.181818008422852</v>
      </c>
      <c r="S50" s="2">
        <v>28.020103454589844</v>
      </c>
      <c r="T50" s="2">
        <v>63.636363983154297</v>
      </c>
      <c r="U50" s="4">
        <v>54.946929931640625</v>
      </c>
      <c r="V50" s="2">
        <v>93.333335876464844</v>
      </c>
      <c r="W50" s="2">
        <v>86.185371398925781</v>
      </c>
      <c r="X50" s="2">
        <v>45.454544067382813</v>
      </c>
      <c r="Y50" s="2">
        <v>46.22076416015625</v>
      </c>
      <c r="Z50" s="2">
        <v>67.741935729980469</v>
      </c>
      <c r="AA50" s="2">
        <v>91.290458679199219</v>
      </c>
      <c r="AB50" s="2">
        <v>98.484848022460938</v>
      </c>
      <c r="AC50" s="46" t="str">
        <f t="shared" si="9"/>
        <v>NRA*</v>
      </c>
      <c r="AD50" s="2">
        <v>44.559585571289063</v>
      </c>
      <c r="AE50" s="2">
        <v>38.280059814453125</v>
      </c>
      <c r="AF50" s="2"/>
      <c r="AG50" s="34">
        <f t="shared" si="10"/>
        <v>199</v>
      </c>
      <c r="AH50" s="34" t="str" cm="1">
        <f t="array" ref="AH50">IF(AG50="NR**","NR**",INDEX(trust_indicator_data!$A$2:$BE$127,(ROW()-ROW(trust_indicator_data!$A$1:$BE$1)),MATCH(selected_indic_name_adj,trust_indicator_data!$A$1:$BE$1,0)))</f>
        <v>NRA*</v>
      </c>
      <c r="AI50" s="34" t="str">
        <f>IF(AG50="NR**","NR**",IF(AH50="NRA*","NRA*",RANK(AH50,AH:AH,1)+COUNTIF($AH$2:AH50,AH50)-1))</f>
        <v>NRA*</v>
      </c>
      <c r="AJ50" s="34" cm="1">
        <f t="array" ref="AJ50">IF(AG50="NR**","NR**",INDEX(trust_indicator_data!$A$2:$BE$127,(ROW()-ROW(trust_indicator_data!$A$1:$BE$1)),MATCH(selected_indic_name_unadj,trust_indicator_data!$A$1:$BE$1,0)))</f>
        <v>53.571430206298828</v>
      </c>
      <c r="AK50" s="34">
        <f>IF(AG50="NR**","NR**",RANK(trust_indicator_data!AJ50,AJ:AJ,1)+COUNTIF($AJ$2:AJ50,AJ50)-1)</f>
        <v>91</v>
      </c>
      <c r="AM50" s="34" cm="1">
        <f t="array" ref="AM50">IF(AQ50&lt;10,0,INDEX(trust_indicator_data!$A$2:$BE$127,(ROW()-ROW(trust_indicator_data!$A$1:$BE$1)),MATCH(selected_indic_name_unadj,trust_indicator_data!$A$1:$BE$1,0)))</f>
        <v>53.571430206298828</v>
      </c>
      <c r="AN50" s="34">
        <f t="shared" si="11"/>
        <v>91</v>
      </c>
      <c r="AP50" s="34">
        <f>RANK(trust_indicator_data!$AQ50,AQ:AQ,1)+COUNTIF($AQ$2:AQ50,AQ50)-1</f>
        <v>43</v>
      </c>
      <c r="AQ50" s="34" cm="1">
        <f t="array" ref="AQ50">INDEX(trust_indicator_data!$A$2:$BE$127,(ROW()-ROW(trust_indicator_data!$A$1:$BE$1)),MATCH(selected_indic_denom,trust_indicator_data!$A$1:$BE$1,0))</f>
        <v>199</v>
      </c>
      <c r="AR50" s="34" cm="1">
        <f t="array" ref="AR50">INDEX(trust_indicator_data!$A$2:$BE$127,(ROW()-ROW(trust_indicator_data!$A$1:$BE$1)),MATCH(selected_indic_name_unadj,trust_indicator_data!$A$1:$BE$1,0))/100</f>
        <v>0.53571430206298831</v>
      </c>
      <c r="AS50" s="34">
        <f>IF(AQ50&lt;10,NA(),trust_indicator_data!$AR50)</f>
        <v>0.53571430206298831</v>
      </c>
      <c r="AU50" s="34">
        <f>INDEX(table_national_indic,MATCH($AU$1,national_indicator_data!$A$1:$A$17,0),MATCH(selected_indic_name_unadj,national_indicator_data!$A$1:$R$1,0))</f>
        <v>0.47675243377685544</v>
      </c>
      <c r="AV50" s="34">
        <f>INDEX(table_national_indic,MATCH($AV$1,national_indicator_data!$A$1:$A$7,0),MATCH(selected_indic_name_unadj,national_indicator_data!$A$1:$R$1,0))</f>
        <v>0.76214221292766271</v>
      </c>
      <c r="AW50" s="34">
        <f t="shared" si="22"/>
        <v>0.69125409242682911</v>
      </c>
      <c r="AX50" s="34">
        <f t="shared" si="23"/>
        <v>0.83303033342849631</v>
      </c>
      <c r="AY50" s="34">
        <f t="shared" si="24"/>
        <v>0.65581003217641232</v>
      </c>
      <c r="AZ50" s="34">
        <f t="shared" si="25"/>
        <v>0.8684743936789131</v>
      </c>
      <c r="BA50" s="34">
        <f>INDEX(table_national_indic,MATCH($BA$1,national_indicator_data!$A$1:$A$7,0),MATCH(selected_indic_name_unadj,national_indicator_data!$A$1:$R$1,0))</f>
        <v>0</v>
      </c>
      <c r="BB50" s="34">
        <f t="shared" si="26"/>
        <v>0.40641121639377226</v>
      </c>
      <c r="BC50" s="34">
        <f t="shared" si="12"/>
        <v>0.54756015672089786</v>
      </c>
      <c r="BD50" s="34">
        <f t="shared" si="13"/>
        <v>0.37185779347929288</v>
      </c>
      <c r="BE50" s="34">
        <f t="shared" si="14"/>
        <v>0.58269451495740365</v>
      </c>
      <c r="BG50">
        <f t="shared" si="28"/>
        <v>49</v>
      </c>
      <c r="BH50">
        <f t="shared" si="27"/>
        <v>213</v>
      </c>
      <c r="BI50" s="42">
        <f t="shared" si="16"/>
        <v>0.53793102264404302</v>
      </c>
      <c r="BJ50" s="42">
        <f t="shared" si="17"/>
        <v>0.40873963400306518</v>
      </c>
      <c r="BK50" s="42">
        <f t="shared" si="18"/>
        <v>0.54520112477734095</v>
      </c>
      <c r="BL50" s="42">
        <f t="shared" si="19"/>
        <v>0.3752961813319739</v>
      </c>
      <c r="BM50" s="42">
        <f t="shared" si="20"/>
        <v>0.57918752384713468</v>
      </c>
      <c r="BN50" s="42">
        <f t="shared" si="21"/>
        <v>0.47675243377685544</v>
      </c>
    </row>
    <row r="51" spans="1:66" x14ac:dyDescent="0.25">
      <c r="A51" t="s">
        <v>296</v>
      </c>
      <c r="B51" t="s">
        <v>295</v>
      </c>
      <c r="C51" t="s">
        <v>36</v>
      </c>
      <c r="D51" t="s">
        <v>34</v>
      </c>
      <c r="E51" s="2">
        <v>211</v>
      </c>
      <c r="F51" s="2">
        <v>196</v>
      </c>
      <c r="G51" s="2">
        <v>10</v>
      </c>
      <c r="H51" s="2">
        <v>29</v>
      </c>
      <c r="I51" s="2">
        <v>35</v>
      </c>
      <c r="J51" s="2">
        <v>51</v>
      </c>
      <c r="K51" s="2">
        <v>17</v>
      </c>
      <c r="L51" s="2">
        <v>43.396224975585938</v>
      </c>
      <c r="M51" s="46" t="str">
        <f t="shared" si="6"/>
        <v>NRA*</v>
      </c>
      <c r="N51" s="2">
        <v>69.811317443847656</v>
      </c>
      <c r="O51" s="46" t="str">
        <f t="shared" si="7"/>
        <v>NRA*</v>
      </c>
      <c r="P51" s="2">
        <v>82.758621215820313</v>
      </c>
      <c r="Q51" s="46" t="str">
        <f t="shared" si="8"/>
        <v>NRA*</v>
      </c>
      <c r="R51" s="2">
        <v>15.816326141357422</v>
      </c>
      <c r="S51" s="2">
        <v>16.860488891601563</v>
      </c>
      <c r="T51" s="2">
        <v>70</v>
      </c>
      <c r="U51" s="4">
        <v>65.181678771972656</v>
      </c>
      <c r="V51" s="2">
        <v>68.571426391601563</v>
      </c>
      <c r="W51" s="2">
        <v>69.387741088867188</v>
      </c>
      <c r="X51" s="2">
        <v>70.588233947753906</v>
      </c>
      <c r="Y51" s="2">
        <v>60.448368072509766</v>
      </c>
      <c r="Z51" s="2">
        <v>60.784313201904297</v>
      </c>
      <c r="AA51" s="2">
        <v>61.885364532470703</v>
      </c>
      <c r="AB51" s="2">
        <v>92.857139587402344</v>
      </c>
      <c r="AC51" s="46" t="str">
        <f t="shared" si="9"/>
        <v>NRA*</v>
      </c>
      <c r="AD51" s="2">
        <v>28.909952163696289</v>
      </c>
      <c r="AE51" s="2">
        <v>32.755275726318359</v>
      </c>
      <c r="AF51" s="2"/>
      <c r="AG51" s="4">
        <f t="shared" si="10"/>
        <v>211</v>
      </c>
      <c r="AH51" s="4" t="str" cm="1">
        <f t="array" ref="AH51">IF(AG51="NR**","NR**",INDEX(trust_indicator_data!$A$2:$BE$127,(ROW()-ROW(trust_indicator_data!$A$1:$BE$1)),MATCH(selected_indic_name_adj,trust_indicator_data!$A$1:$BE$1,0)))</f>
        <v>NRA*</v>
      </c>
      <c r="AI51" s="4" t="str">
        <f>IF(AG51="NR**","NR**",IF(AH51="NRA*","NRA*",RANK(AH51,AH:AH,1)+COUNTIF($AH$2:AH51,AH51)-1))</f>
        <v>NRA*</v>
      </c>
      <c r="AJ51" s="4" cm="1">
        <f t="array" ref="AJ51">IF(AG51="NR**","NR**",INDEX(trust_indicator_data!$A$2:$BE$127,(ROW()-ROW(trust_indicator_data!$A$1:$BE$1)),MATCH(selected_indic_name_unadj,trust_indicator_data!$A$1:$BE$1,0)))</f>
        <v>43.396224975585938</v>
      </c>
      <c r="AK51" s="4">
        <f>IF(AG51="NR**","NR**",RANK(trust_indicator_data!AJ51,AJ:AJ,1)+COUNTIF($AJ$2:AJ51,AJ51)-1)</f>
        <v>29</v>
      </c>
      <c r="AM51" s="4" cm="1">
        <f t="array" ref="AM51">IF(AQ51&lt;10,0,INDEX(trust_indicator_data!$A$2:$BE$127,(ROW()-ROW(trust_indicator_data!$A$1:$BE$1)),MATCH(selected_indic_name_unadj,trust_indicator_data!$A$1:$BE$1,0)))</f>
        <v>43.396224975585938</v>
      </c>
      <c r="AN51" s="4">
        <f t="shared" si="11"/>
        <v>29</v>
      </c>
      <c r="AP51" s="4">
        <f>RANK(trust_indicator_data!$AQ51,AQ:AQ,1)+COUNTIF($AQ$2:AQ51,AQ51)-1</f>
        <v>47</v>
      </c>
      <c r="AQ51" s="4" cm="1">
        <f t="array" ref="AQ51">INDEX(trust_indicator_data!$A$2:$BE$127,(ROW()-ROW(trust_indicator_data!$A$1:$BE$1)),MATCH(selected_indic_denom,trust_indicator_data!$A$1:$BE$1,0))</f>
        <v>211</v>
      </c>
      <c r="AR51" s="4" cm="1">
        <f t="array" ref="AR51">INDEX(trust_indicator_data!$A$2:$BE$127,(ROW()-ROW(trust_indicator_data!$A$1:$BE$1)),MATCH(selected_indic_name_unadj,trust_indicator_data!$A$1:$BE$1,0))/100</f>
        <v>0.4339622497558594</v>
      </c>
      <c r="AS51" s="4">
        <f>IF(AQ51&lt;10,NA(),trust_indicator_data!$AR51)</f>
        <v>0.4339622497558594</v>
      </c>
      <c r="AU51" s="4">
        <f>INDEX(table_national_indic,MATCH($AU$1,national_indicator_data!$A$1:$A$17,0),MATCH(selected_indic_name_unadj,national_indicator_data!$A$1:$R$1,0))</f>
        <v>0.47675243377685544</v>
      </c>
      <c r="AV51" s="4">
        <f>INDEX(table_national_indic,MATCH($AV$1,national_indicator_data!$A$1:$A$7,0),MATCH(selected_indic_name_unadj,national_indicator_data!$A$1:$R$1,0))</f>
        <v>0.76214221292766271</v>
      </c>
      <c r="AW51" s="4">
        <f t="shared" si="22"/>
        <v>0.69329937384551132</v>
      </c>
      <c r="AX51" s="4">
        <f t="shared" si="23"/>
        <v>0.8309850520098141</v>
      </c>
      <c r="AY51" s="4">
        <f t="shared" si="24"/>
        <v>0.65887795430443563</v>
      </c>
      <c r="AZ51" s="4">
        <f t="shared" si="25"/>
        <v>0.86540647155088979</v>
      </c>
      <c r="BA51" s="4">
        <f>INDEX(table_national_indic,MATCH($BA$1,national_indicator_data!$A$1:$A$7,0),MATCH(selected_indic_name_unadj,national_indicator_data!$A$1:$R$1,0))</f>
        <v>0</v>
      </c>
      <c r="BB51" s="4">
        <f t="shared" si="26"/>
        <v>0.40842112709703116</v>
      </c>
      <c r="BC51" s="4">
        <f t="shared" si="12"/>
        <v>0.54552375682463972</v>
      </c>
      <c r="BD51" s="4">
        <f t="shared" si="13"/>
        <v>0.37482564492721754</v>
      </c>
      <c r="BE51" s="4">
        <f t="shared" si="14"/>
        <v>0.57966730533187749</v>
      </c>
      <c r="BG51">
        <f t="shared" si="28"/>
        <v>50</v>
      </c>
      <c r="BH51">
        <f t="shared" si="27"/>
        <v>215</v>
      </c>
      <c r="BI51" s="42">
        <f t="shared" si="16"/>
        <v>0.5235848999023438</v>
      </c>
      <c r="BJ51" s="42">
        <f t="shared" si="17"/>
        <v>0.409053723740056</v>
      </c>
      <c r="BK51" s="42">
        <f t="shared" si="18"/>
        <v>0.54488298652676115</v>
      </c>
      <c r="BL51" s="42">
        <f t="shared" si="19"/>
        <v>0.37576025208524272</v>
      </c>
      <c r="BM51" s="42">
        <f t="shared" si="20"/>
        <v>0.57871437941364512</v>
      </c>
      <c r="BN51" s="42">
        <f t="shared" si="21"/>
        <v>0.47675243377685544</v>
      </c>
    </row>
    <row r="52" spans="1:66" x14ac:dyDescent="0.25">
      <c r="A52" t="s">
        <v>81</v>
      </c>
      <c r="B52" t="s">
        <v>80</v>
      </c>
      <c r="C52" t="s">
        <v>30</v>
      </c>
      <c r="D52" t="s">
        <v>28</v>
      </c>
      <c r="E52" s="2">
        <v>565</v>
      </c>
      <c r="F52" s="2">
        <v>517</v>
      </c>
      <c r="G52" s="2">
        <v>39</v>
      </c>
      <c r="H52" s="2">
        <v>131</v>
      </c>
      <c r="I52" s="2">
        <v>152</v>
      </c>
      <c r="J52" s="2">
        <v>58</v>
      </c>
      <c r="K52" s="2">
        <v>30</v>
      </c>
      <c r="L52" s="2">
        <v>30.476190567016602</v>
      </c>
      <c r="M52" s="46" t="str">
        <f t="shared" si="6"/>
        <v>NRA*</v>
      </c>
      <c r="N52" s="2">
        <v>61.111110687255859</v>
      </c>
      <c r="O52" s="46" t="str">
        <f t="shared" si="7"/>
        <v>NRA*</v>
      </c>
      <c r="P52" s="2">
        <v>90.076332092285156</v>
      </c>
      <c r="Q52" s="46" t="str">
        <f t="shared" si="8"/>
        <v>NRA*</v>
      </c>
      <c r="R52" s="2">
        <v>31.528045654296875</v>
      </c>
      <c r="S52" s="2">
        <v>21.310197830200195</v>
      </c>
      <c r="T52" s="2">
        <v>79.4871826171875</v>
      </c>
      <c r="U52" s="4">
        <v>73.907333374023438</v>
      </c>
      <c r="V52" s="2">
        <v>89.473686218261719</v>
      </c>
      <c r="W52" s="2">
        <v>83.411766052246094</v>
      </c>
      <c r="X52" s="2">
        <v>80</v>
      </c>
      <c r="Y52" s="2">
        <v>79.850265502929688</v>
      </c>
      <c r="Z52" s="2">
        <v>62.068965911865234</v>
      </c>
      <c r="AA52" s="2">
        <v>60.990962982177734</v>
      </c>
      <c r="AB52" s="2">
        <v>99.720672607421875</v>
      </c>
      <c r="AC52" s="46" t="str">
        <f t="shared" si="9"/>
        <v>NRA*</v>
      </c>
      <c r="AD52" s="2">
        <v>26.194690704345703</v>
      </c>
      <c r="AE52" s="2">
        <v>30.823572158813477</v>
      </c>
      <c r="AF52" s="2"/>
      <c r="AG52" s="34">
        <f t="shared" si="10"/>
        <v>565</v>
      </c>
      <c r="AH52" s="34" t="str" cm="1">
        <f t="array" ref="AH52">IF(AG52="NR**","NR**",INDEX(trust_indicator_data!$A$2:$BE$127,(ROW()-ROW(trust_indicator_data!$A$1:$BE$1)),MATCH(selected_indic_name_adj,trust_indicator_data!$A$1:$BE$1,0)))</f>
        <v>NRA*</v>
      </c>
      <c r="AI52" s="34" t="str">
        <f>IF(AG52="NR**","NR**",IF(AH52="NRA*","NRA*",RANK(AH52,AH:AH,1)+COUNTIF($AH$2:AH52,AH52)-1))</f>
        <v>NRA*</v>
      </c>
      <c r="AJ52" s="34" cm="1">
        <f t="array" ref="AJ52">IF(AG52="NR**","NR**",INDEX(trust_indicator_data!$A$2:$BE$127,(ROW()-ROW(trust_indicator_data!$A$1:$BE$1)),MATCH(selected_indic_name_unadj,trust_indicator_data!$A$1:$BE$1,0)))</f>
        <v>30.476190567016602</v>
      </c>
      <c r="AK52" s="34">
        <f>IF(AG52="NR**","NR**",RANK(trust_indicator_data!AJ52,AJ:AJ,1)+COUNTIF($AJ$2:AJ52,AJ52)-1)</f>
        <v>4</v>
      </c>
      <c r="AM52" s="34" cm="1">
        <f t="array" ref="AM52">IF(AQ52&lt;10,0,INDEX(trust_indicator_data!$A$2:$BE$127,(ROW()-ROW(trust_indicator_data!$A$1:$BE$1)),MATCH(selected_indic_name_unadj,trust_indicator_data!$A$1:$BE$1,0)))</f>
        <v>30.476190567016602</v>
      </c>
      <c r="AN52" s="34">
        <f t="shared" si="11"/>
        <v>4</v>
      </c>
      <c r="AP52" s="34">
        <f>RANK(trust_indicator_data!$AQ52,AQ:AQ,1)+COUNTIF($AQ$2:AQ52,AQ52)-1</f>
        <v>120</v>
      </c>
      <c r="AQ52" s="34" cm="1">
        <f t="array" ref="AQ52">INDEX(trust_indicator_data!$A$2:$BE$127,(ROW()-ROW(trust_indicator_data!$A$1:$BE$1)),MATCH(selected_indic_denom,trust_indicator_data!$A$1:$BE$1,0))</f>
        <v>565</v>
      </c>
      <c r="AR52" s="34" cm="1">
        <f t="array" ref="AR52">INDEX(trust_indicator_data!$A$2:$BE$127,(ROW()-ROW(trust_indicator_data!$A$1:$BE$1)),MATCH(selected_indic_name_unadj,trust_indicator_data!$A$1:$BE$1,0))/100</f>
        <v>0.30476190567016603</v>
      </c>
      <c r="AS52" s="34">
        <f>IF(AQ52&lt;10,NA(),trust_indicator_data!$AR52)</f>
        <v>0.30476190567016603</v>
      </c>
      <c r="AU52" s="34">
        <f>INDEX(table_national_indic,MATCH($AU$1,national_indicator_data!$A$1:$A$17,0),MATCH(selected_indic_name_unadj,national_indicator_data!$A$1:$R$1,0))</f>
        <v>0.47675243377685544</v>
      </c>
      <c r="AV52" s="34">
        <f>INDEX(table_national_indic,MATCH($AV$1,national_indicator_data!$A$1:$A$7,0),MATCH(selected_indic_name_unadj,national_indicator_data!$A$1:$R$1,0))</f>
        <v>0.76214221292766271</v>
      </c>
      <c r="AW52" s="34">
        <f t="shared" si="22"/>
        <v>0.72007189673649563</v>
      </c>
      <c r="AX52" s="34">
        <f t="shared" si="23"/>
        <v>0.80421252911882979</v>
      </c>
      <c r="AY52" s="34">
        <f t="shared" si="24"/>
        <v>0.69903673864091198</v>
      </c>
      <c r="AZ52" s="34">
        <f t="shared" si="25"/>
        <v>0.82524768721441344</v>
      </c>
      <c r="BA52" s="34">
        <f>INDEX(table_national_indic,MATCH($BA$1,national_indicator_data!$A$1:$A$7,0),MATCH(selected_indic_name_unadj,national_indicator_data!$A$1:$R$1,0))</f>
        <v>0</v>
      </c>
      <c r="BB52" s="34">
        <f t="shared" si="26"/>
        <v>0.43485942892446644</v>
      </c>
      <c r="BC52" s="34">
        <f t="shared" si="12"/>
        <v>0.51880992609176535</v>
      </c>
      <c r="BD52" s="34">
        <f t="shared" si="13"/>
        <v>0.4140673411986236</v>
      </c>
      <c r="BE52" s="34">
        <f t="shared" si="14"/>
        <v>0.53980735026132853</v>
      </c>
      <c r="BG52">
        <f t="shared" si="28"/>
        <v>51</v>
      </c>
      <c r="BH52">
        <f t="shared" si="27"/>
        <v>216</v>
      </c>
      <c r="BI52" s="42">
        <f t="shared" si="16"/>
        <v>0.4683544158935547</v>
      </c>
      <c r="BJ52" s="42">
        <f t="shared" si="17"/>
        <v>0.4092091439225673</v>
      </c>
      <c r="BK52" s="42">
        <f t="shared" si="18"/>
        <v>0.54472557015869194</v>
      </c>
      <c r="BL52" s="42">
        <f t="shared" si="19"/>
        <v>0.37598990889744943</v>
      </c>
      <c r="BM52" s="42">
        <f t="shared" si="20"/>
        <v>0.57848024855358715</v>
      </c>
      <c r="BN52" s="42">
        <f t="shared" si="21"/>
        <v>0.47675243377685544</v>
      </c>
    </row>
    <row r="53" spans="1:66" x14ac:dyDescent="0.25">
      <c r="A53" t="s">
        <v>242</v>
      </c>
      <c r="B53" t="s">
        <v>241</v>
      </c>
      <c r="C53" t="s">
        <v>36</v>
      </c>
      <c r="D53" t="s">
        <v>34</v>
      </c>
      <c r="E53" s="2">
        <v>266</v>
      </c>
      <c r="F53" s="2">
        <v>246</v>
      </c>
      <c r="G53" s="2">
        <v>18</v>
      </c>
      <c r="H53" s="2">
        <v>28</v>
      </c>
      <c r="I53" s="2">
        <v>36</v>
      </c>
      <c r="J53" s="2">
        <v>31</v>
      </c>
      <c r="K53" s="2">
        <v>11</v>
      </c>
      <c r="L53" s="2">
        <v>49.065422058105469</v>
      </c>
      <c r="M53" s="46" t="str">
        <f t="shared" si="6"/>
        <v>NRA*</v>
      </c>
      <c r="N53" s="2">
        <v>45</v>
      </c>
      <c r="O53" s="46" t="str">
        <f t="shared" si="7"/>
        <v>NRA*</v>
      </c>
      <c r="P53" s="2">
        <v>57.142856597900391</v>
      </c>
      <c r="Q53" s="46" t="str">
        <f t="shared" si="8"/>
        <v>NRA*</v>
      </c>
      <c r="R53" s="2">
        <v>17.47967529296875</v>
      </c>
      <c r="S53" s="2">
        <v>28.203256607055664</v>
      </c>
      <c r="T53" s="2">
        <v>61.111110687255859</v>
      </c>
      <c r="U53" s="4">
        <v>62.458938598632813</v>
      </c>
      <c r="V53" s="2">
        <v>83.333335876464844</v>
      </c>
      <c r="W53" s="2">
        <v>89.694419860839844</v>
      </c>
      <c r="X53" s="2">
        <v>63.636363983154297</v>
      </c>
      <c r="Y53" s="2">
        <v>66.221145629882813</v>
      </c>
      <c r="Z53" s="2">
        <v>74.193550109863281</v>
      </c>
      <c r="AA53" s="2">
        <v>76.28619384765625</v>
      </c>
      <c r="AB53" s="2">
        <v>94.366195678710938</v>
      </c>
      <c r="AC53" s="46" t="str">
        <f t="shared" si="9"/>
        <v>NRA*</v>
      </c>
      <c r="AD53" s="2">
        <v>41.304347991943359</v>
      </c>
      <c r="AE53" s="2">
        <v>31.10948371887207</v>
      </c>
      <c r="AF53" s="2"/>
      <c r="AG53" s="4">
        <f t="shared" si="10"/>
        <v>266</v>
      </c>
      <c r="AH53" s="4" t="str" cm="1">
        <f t="array" ref="AH53">IF(AG53="NR**","NR**",INDEX(trust_indicator_data!$A$2:$BE$127,(ROW()-ROW(trust_indicator_data!$A$1:$BE$1)),MATCH(selected_indic_name_adj,trust_indicator_data!$A$1:$BE$1,0)))</f>
        <v>NRA*</v>
      </c>
      <c r="AI53" s="4" t="str">
        <f>IF(AG53="NR**","NR**",IF(AH53="NRA*","NRA*",RANK(AH53,AH:AH,1)+COUNTIF($AH$2:AH53,AH53)-1))</f>
        <v>NRA*</v>
      </c>
      <c r="AJ53" s="4" cm="1">
        <f t="array" ref="AJ53">IF(AG53="NR**","NR**",INDEX(trust_indicator_data!$A$2:$BE$127,(ROW()-ROW(trust_indicator_data!$A$1:$BE$1)),MATCH(selected_indic_name_unadj,trust_indicator_data!$A$1:$BE$1,0)))</f>
        <v>49.065422058105469</v>
      </c>
      <c r="AK53" s="4">
        <f>IF(AG53="NR**","NR**",RANK(trust_indicator_data!AJ53,AJ:AJ,1)+COUNTIF($AJ$2:AJ53,AJ53)-1)</f>
        <v>61</v>
      </c>
      <c r="AM53" s="4" cm="1">
        <f t="array" ref="AM53">IF(AQ53&lt;10,0,INDEX(trust_indicator_data!$A$2:$BE$127,(ROW()-ROW(trust_indicator_data!$A$1:$BE$1)),MATCH(selected_indic_name_unadj,trust_indicator_data!$A$1:$BE$1,0)))</f>
        <v>49.065422058105469</v>
      </c>
      <c r="AN53" s="4">
        <f t="shared" si="11"/>
        <v>61</v>
      </c>
      <c r="AP53" s="4">
        <f>RANK(trust_indicator_data!$AQ53,AQ:AQ,1)+COUNTIF($AQ$2:AQ53,AQ53)-1</f>
        <v>76</v>
      </c>
      <c r="AQ53" s="4" cm="1">
        <f t="array" ref="AQ53">INDEX(trust_indicator_data!$A$2:$BE$127,(ROW()-ROW(trust_indicator_data!$A$1:$BE$1)),MATCH(selected_indic_denom,trust_indicator_data!$A$1:$BE$1,0))</f>
        <v>266</v>
      </c>
      <c r="AR53" s="4" cm="1">
        <f t="array" ref="AR53">INDEX(trust_indicator_data!$A$2:$BE$127,(ROW()-ROW(trust_indicator_data!$A$1:$BE$1)),MATCH(selected_indic_name_unadj,trust_indicator_data!$A$1:$BE$1,0))/100</f>
        <v>0.49065422058105468</v>
      </c>
      <c r="AS53" s="4">
        <f>IF(AQ53&lt;10,NA(),trust_indicator_data!$AR53)</f>
        <v>0.49065422058105468</v>
      </c>
      <c r="AU53" s="4">
        <f>INDEX(table_national_indic,MATCH($AU$1,national_indicator_data!$A$1:$A$17,0),MATCH(selected_indic_name_unadj,national_indicator_data!$A$1:$R$1,0))</f>
        <v>0.47675243377685544</v>
      </c>
      <c r="AV53" s="4">
        <f>INDEX(table_national_indic,MATCH($AV$1,national_indicator_data!$A$1:$A$7,0),MATCH(selected_indic_name_unadj,national_indicator_data!$A$1:$R$1,0))</f>
        <v>0.76214221292766271</v>
      </c>
      <c r="AW53" s="4">
        <f t="shared" si="22"/>
        <v>0.70082827897916611</v>
      </c>
      <c r="AX53" s="4">
        <f t="shared" si="23"/>
        <v>0.82345614687615931</v>
      </c>
      <c r="AY53" s="4">
        <f t="shared" si="24"/>
        <v>0.67017131200491786</v>
      </c>
      <c r="AZ53" s="4">
        <f t="shared" si="25"/>
        <v>0.85411311385040756</v>
      </c>
      <c r="BA53" s="4">
        <f>INDEX(table_national_indic,MATCH($BA$1,national_indicator_data!$A$1:$A$7,0),MATCH(selected_indic_name_unadj,national_indicator_data!$A$1:$R$1,0))</f>
        <v>0</v>
      </c>
      <c r="BB53" s="4">
        <f t="shared" si="26"/>
        <v>0.41583277207820429</v>
      </c>
      <c r="BC53" s="4">
        <f t="shared" si="12"/>
        <v>0.53802124507751214</v>
      </c>
      <c r="BD53" s="4">
        <f t="shared" si="13"/>
        <v>0.38579037239449399</v>
      </c>
      <c r="BE53" s="4">
        <f t="shared" si="14"/>
        <v>0.56849885167086189</v>
      </c>
      <c r="BG53">
        <f t="shared" si="28"/>
        <v>52</v>
      </c>
      <c r="BH53">
        <f t="shared" si="27"/>
        <v>219</v>
      </c>
      <c r="BI53" s="42">
        <f t="shared" si="16"/>
        <v>0.45026176452636718</v>
      </c>
      <c r="BJ53" s="42">
        <f t="shared" si="17"/>
        <v>0.40966905329201742</v>
      </c>
      <c r="BK53" s="42">
        <f t="shared" si="18"/>
        <v>0.54425978144590648</v>
      </c>
      <c r="BL53" s="42">
        <f t="shared" si="19"/>
        <v>0.3766695791748691</v>
      </c>
      <c r="BM53" s="42">
        <f t="shared" si="20"/>
        <v>0.57778740044398857</v>
      </c>
      <c r="BN53" s="42">
        <f t="shared" si="21"/>
        <v>0.47675243377685544</v>
      </c>
    </row>
    <row r="54" spans="1:66" x14ac:dyDescent="0.25">
      <c r="A54" t="s">
        <v>104</v>
      </c>
      <c r="B54" t="s">
        <v>103</v>
      </c>
      <c r="C54" t="s">
        <v>27</v>
      </c>
      <c r="D54" t="s">
        <v>25</v>
      </c>
      <c r="E54" s="2">
        <v>625</v>
      </c>
      <c r="F54" s="2">
        <v>570</v>
      </c>
      <c r="G54" s="2">
        <v>41</v>
      </c>
      <c r="H54" s="2">
        <v>73</v>
      </c>
      <c r="I54" s="2">
        <v>87</v>
      </c>
      <c r="J54" s="2">
        <v>106</v>
      </c>
      <c r="K54" s="2">
        <v>24</v>
      </c>
      <c r="L54" s="2">
        <v>54.181182861328125</v>
      </c>
      <c r="M54" s="46" t="str">
        <f t="shared" si="6"/>
        <v>NRA*</v>
      </c>
      <c r="N54" s="2">
        <v>52.183906555175781</v>
      </c>
      <c r="O54" s="46" t="str">
        <f t="shared" si="7"/>
        <v>NRA*</v>
      </c>
      <c r="P54" s="2">
        <v>87.671234130859375</v>
      </c>
      <c r="Q54" s="46" t="str">
        <f t="shared" si="8"/>
        <v>NRA*</v>
      </c>
      <c r="R54" s="2">
        <v>18.771930694580078</v>
      </c>
      <c r="S54" s="2">
        <v>22.617387771606445</v>
      </c>
      <c r="T54" s="2">
        <v>73.170730590820313</v>
      </c>
      <c r="U54" s="4">
        <v>77.118354797363281</v>
      </c>
      <c r="V54" s="2">
        <v>88.505744934082031</v>
      </c>
      <c r="W54" s="2">
        <v>87.439247131347656</v>
      </c>
      <c r="X54" s="2">
        <v>79.166664123535156</v>
      </c>
      <c r="Y54" s="2">
        <v>72.95745849609375</v>
      </c>
      <c r="Z54" s="2">
        <v>61.320755004882813</v>
      </c>
      <c r="AA54" s="2">
        <v>66.263435363769531</v>
      </c>
      <c r="AB54" s="2">
        <v>96.042213439941406</v>
      </c>
      <c r="AC54" s="46" t="str">
        <f t="shared" si="9"/>
        <v>NRA*</v>
      </c>
      <c r="AD54" s="2">
        <v>32.066116333007813</v>
      </c>
      <c r="AE54" s="2">
        <v>28.751455307006836</v>
      </c>
      <c r="AF54" s="2"/>
      <c r="AG54" s="34">
        <f t="shared" si="10"/>
        <v>625</v>
      </c>
      <c r="AH54" s="34" t="str" cm="1">
        <f t="array" ref="AH54">IF(AG54="NR**","NR**",INDEX(trust_indicator_data!$A$2:$BE$127,(ROW()-ROW(trust_indicator_data!$A$1:$BE$1)),MATCH(selected_indic_name_adj,trust_indicator_data!$A$1:$BE$1,0)))</f>
        <v>NRA*</v>
      </c>
      <c r="AI54" s="34" t="str">
        <f>IF(AG54="NR**","NR**",IF(AH54="NRA*","NRA*",RANK(AH54,AH:AH,1)+COUNTIF($AH$2:AH54,AH54)-1))</f>
        <v>NRA*</v>
      </c>
      <c r="AJ54" s="34" cm="1">
        <f t="array" ref="AJ54">IF(AG54="NR**","NR**",INDEX(trust_indicator_data!$A$2:$BE$127,(ROW()-ROW(trust_indicator_data!$A$1:$BE$1)),MATCH(selected_indic_name_unadj,trust_indicator_data!$A$1:$BE$1,0)))</f>
        <v>54.181182861328125</v>
      </c>
      <c r="AK54" s="34">
        <f>IF(AG54="NR**","NR**",RANK(trust_indicator_data!AJ54,AJ:AJ,1)+COUNTIF($AJ$2:AJ54,AJ54)-1)</f>
        <v>98</v>
      </c>
      <c r="AM54" s="34" cm="1">
        <f t="array" ref="AM54">IF(AQ54&lt;10,0,INDEX(trust_indicator_data!$A$2:$BE$127,(ROW()-ROW(trust_indicator_data!$A$1:$BE$1)),MATCH(selected_indic_name_unadj,trust_indicator_data!$A$1:$BE$1,0)))</f>
        <v>54.181182861328125</v>
      </c>
      <c r="AN54" s="34">
        <f t="shared" si="11"/>
        <v>98</v>
      </c>
      <c r="AP54" s="34">
        <f>RANK(trust_indicator_data!$AQ54,AQ:AQ,1)+COUNTIF($AQ$2:AQ54,AQ54)-1</f>
        <v>123</v>
      </c>
      <c r="AQ54" s="34" cm="1">
        <f t="array" ref="AQ54">INDEX(trust_indicator_data!$A$2:$BE$127,(ROW()-ROW(trust_indicator_data!$A$1:$BE$1)),MATCH(selected_indic_denom,trust_indicator_data!$A$1:$BE$1,0))</f>
        <v>625</v>
      </c>
      <c r="AR54" s="34" cm="1">
        <f t="array" ref="AR54">INDEX(trust_indicator_data!$A$2:$BE$127,(ROW()-ROW(trust_indicator_data!$A$1:$BE$1)),MATCH(selected_indic_name_unadj,trust_indicator_data!$A$1:$BE$1,0))/100</f>
        <v>0.54181182861328125</v>
      </c>
      <c r="AS54" s="34">
        <f>IF(AQ54&lt;10,NA(),trust_indicator_data!$AR54)</f>
        <v>0.54181182861328125</v>
      </c>
      <c r="AU54" s="34">
        <f>INDEX(table_national_indic,MATCH($AU$1,national_indicator_data!$A$1:$A$17,0),MATCH(selected_indic_name_unadj,national_indicator_data!$A$1:$R$1,0))</f>
        <v>0.47675243377685544</v>
      </c>
      <c r="AV54" s="34">
        <f>INDEX(table_national_indic,MATCH($AV$1,national_indicator_data!$A$1:$A$7,0),MATCH(selected_indic_name_unadj,national_indicator_data!$A$1:$R$1,0))</f>
        <v>0.76214221292766271</v>
      </c>
      <c r="AW54" s="34">
        <f t="shared" si="22"/>
        <v>0.72214221292766267</v>
      </c>
      <c r="AX54" s="34">
        <f t="shared" si="23"/>
        <v>0.80214221292766275</v>
      </c>
      <c r="AY54" s="34">
        <f t="shared" si="24"/>
        <v>0.70214221292766266</v>
      </c>
      <c r="AZ54" s="34">
        <f t="shared" si="25"/>
        <v>0.82214221292766276</v>
      </c>
      <c r="BA54" s="34">
        <f>INDEX(table_national_indic,MATCH($BA$1,national_indicator_data!$A$1:$A$7,0),MATCH(selected_indic_name_unadj,national_indicator_data!$A$1:$R$1,0))</f>
        <v>0</v>
      </c>
      <c r="BB54" s="34">
        <f t="shared" si="26"/>
        <v>0.43691265254722267</v>
      </c>
      <c r="BC54" s="34">
        <f t="shared" si="12"/>
        <v>0.51674092009554995</v>
      </c>
      <c r="BD54" s="34">
        <f t="shared" si="13"/>
        <v>0.41712824523351827</v>
      </c>
      <c r="BE54" s="34">
        <f t="shared" si="14"/>
        <v>0.5367109857486364</v>
      </c>
      <c r="BG54">
        <f t="shared" si="28"/>
        <v>53</v>
      </c>
      <c r="BH54">
        <f t="shared" si="27"/>
        <v>221</v>
      </c>
      <c r="BI54" s="42">
        <f t="shared" si="16"/>
        <v>0.47441860198974611</v>
      </c>
      <c r="BJ54" s="42">
        <f t="shared" si="17"/>
        <v>0.40997048598696872</v>
      </c>
      <c r="BK54" s="42">
        <f t="shared" si="18"/>
        <v>0.54395451773269188</v>
      </c>
      <c r="BL54" s="42">
        <f t="shared" si="19"/>
        <v>0.37711511540482745</v>
      </c>
      <c r="BM54" s="42">
        <f t="shared" si="20"/>
        <v>0.57733327707683346</v>
      </c>
      <c r="BN54" s="42">
        <f t="shared" si="21"/>
        <v>0.47675243377685544</v>
      </c>
    </row>
    <row r="55" spans="1:66" x14ac:dyDescent="0.25">
      <c r="A55" t="s">
        <v>124</v>
      </c>
      <c r="B55" t="s">
        <v>123</v>
      </c>
      <c r="C55" t="s">
        <v>18</v>
      </c>
      <c r="D55" t="s">
        <v>16</v>
      </c>
      <c r="E55" s="2">
        <v>148</v>
      </c>
      <c r="F55" s="2">
        <v>133</v>
      </c>
      <c r="G55" s="2">
        <v>13</v>
      </c>
      <c r="H55" s="2">
        <v>32</v>
      </c>
      <c r="I55" s="2">
        <v>39</v>
      </c>
      <c r="J55" s="2">
        <v>34</v>
      </c>
      <c r="K55" s="2">
        <v>16</v>
      </c>
      <c r="L55" s="2">
        <v>39.416057586669922</v>
      </c>
      <c r="M55" s="46" t="str">
        <f t="shared" si="6"/>
        <v>NRA*</v>
      </c>
      <c r="N55" s="2">
        <v>62.773723602294922</v>
      </c>
      <c r="O55" s="46" t="str">
        <f t="shared" si="7"/>
        <v>NRA*</v>
      </c>
      <c r="P55" s="2">
        <v>90.625</v>
      </c>
      <c r="Q55" s="46" t="str">
        <f t="shared" si="8"/>
        <v>NRA*</v>
      </c>
      <c r="R55" s="2">
        <v>15.037593841552734</v>
      </c>
      <c r="S55" s="2">
        <v>11.970865249633789</v>
      </c>
      <c r="T55" s="2">
        <v>61.538459777832031</v>
      </c>
      <c r="U55" s="4">
        <v>58.859466552734375</v>
      </c>
      <c r="V55" s="2">
        <v>92.307693481445313</v>
      </c>
      <c r="W55" s="2">
        <v>87.804962158203125</v>
      </c>
      <c r="X55" s="2">
        <v>62.5</v>
      </c>
      <c r="Y55" s="2">
        <v>74.497413635253906</v>
      </c>
      <c r="Z55" s="2">
        <v>58.823528289794922</v>
      </c>
      <c r="AA55" s="2">
        <v>58.427265167236328</v>
      </c>
      <c r="AB55" s="2">
        <v>96.907218933105469</v>
      </c>
      <c r="AC55" s="46" t="str">
        <f t="shared" si="9"/>
        <v>NRA*</v>
      </c>
      <c r="AD55" s="2">
        <v>44.897960662841797</v>
      </c>
      <c r="AE55" s="2">
        <v>52.524032592773438</v>
      </c>
      <c r="AF55" s="2"/>
      <c r="AG55" s="4">
        <f t="shared" si="10"/>
        <v>148</v>
      </c>
      <c r="AH55" s="4" t="str" cm="1">
        <f t="array" ref="AH55">IF(AG55="NR**","NR**",INDEX(trust_indicator_data!$A$2:$BE$127,(ROW()-ROW(trust_indicator_data!$A$1:$BE$1)),MATCH(selected_indic_name_adj,trust_indicator_data!$A$1:$BE$1,0)))</f>
        <v>NRA*</v>
      </c>
      <c r="AI55" s="4" t="str">
        <f>IF(AG55="NR**","NR**",IF(AH55="NRA*","NRA*",RANK(AH55,AH:AH,1)+COUNTIF($AH$2:AH55,AH55)-1))</f>
        <v>NRA*</v>
      </c>
      <c r="AJ55" s="4" cm="1">
        <f t="array" ref="AJ55">IF(AG55="NR**","NR**",INDEX(trust_indicator_data!$A$2:$BE$127,(ROW()-ROW(trust_indicator_data!$A$1:$BE$1)),MATCH(selected_indic_name_unadj,trust_indicator_data!$A$1:$BE$1,0)))</f>
        <v>39.416057586669922</v>
      </c>
      <c r="AK55" s="4">
        <f>IF(AG55="NR**","NR**",RANK(trust_indicator_data!AJ55,AJ:AJ,1)+COUNTIF($AJ$2:AJ55,AJ55)-1)</f>
        <v>15</v>
      </c>
      <c r="AM55" s="4" cm="1">
        <f t="array" ref="AM55">IF(AQ55&lt;10,0,INDEX(trust_indicator_data!$A$2:$BE$127,(ROW()-ROW(trust_indicator_data!$A$1:$BE$1)),MATCH(selected_indic_name_unadj,trust_indicator_data!$A$1:$BE$1,0)))</f>
        <v>39.416057586669922</v>
      </c>
      <c r="AN55" s="4">
        <f t="shared" si="11"/>
        <v>15</v>
      </c>
      <c r="AP55" s="4">
        <f>RANK(trust_indicator_data!$AQ55,AQ:AQ,1)+COUNTIF($AQ$2:AQ55,AQ55)-1</f>
        <v>27</v>
      </c>
      <c r="AQ55" s="4" cm="1">
        <f t="array" ref="AQ55">INDEX(trust_indicator_data!$A$2:$BE$127,(ROW()-ROW(trust_indicator_data!$A$1:$BE$1)),MATCH(selected_indic_denom,trust_indicator_data!$A$1:$BE$1,0))</f>
        <v>148</v>
      </c>
      <c r="AR55" s="4" cm="1">
        <f t="array" ref="AR55">INDEX(trust_indicator_data!$A$2:$BE$127,(ROW()-ROW(trust_indicator_data!$A$1:$BE$1)),MATCH(selected_indic_name_unadj,trust_indicator_data!$A$1:$BE$1,0))/100</f>
        <v>0.39416057586669923</v>
      </c>
      <c r="AS55" s="4">
        <f>IF(AQ55&lt;10,NA(),trust_indicator_data!$AR55)</f>
        <v>0.39416057586669923</v>
      </c>
      <c r="AU55" s="4">
        <f>INDEX(table_national_indic,MATCH($AU$1,national_indicator_data!$A$1:$A$17,0),MATCH(selected_indic_name_unadj,national_indicator_data!$A$1:$R$1,0))</f>
        <v>0.47675243377685544</v>
      </c>
      <c r="AV55" s="4">
        <f>INDEX(table_national_indic,MATCH($AV$1,national_indicator_data!$A$1:$A$7,0),MATCH(selected_indic_name_unadj,national_indicator_data!$A$1:$R$1,0))</f>
        <v>0.76214221292766271</v>
      </c>
      <c r="AW55" s="4">
        <f t="shared" si="22"/>
        <v>0.67994271927498406</v>
      </c>
      <c r="AX55" s="4">
        <f t="shared" si="23"/>
        <v>0.84434170658034136</v>
      </c>
      <c r="AY55" s="4">
        <f t="shared" si="24"/>
        <v>0.63884297244864474</v>
      </c>
      <c r="AZ55" s="4">
        <f t="shared" si="25"/>
        <v>0.88544145340668068</v>
      </c>
      <c r="BA55" s="4">
        <f>INDEX(table_national_indic,MATCH($BA$1,national_indicator_data!$A$1:$A$7,0),MATCH(selected_indic_name_unadj,national_indicator_data!$A$1:$R$1,0))</f>
        <v>0</v>
      </c>
      <c r="BB55" s="4">
        <f t="shared" si="26"/>
        <v>0.39532465494754709</v>
      </c>
      <c r="BC55" s="4">
        <f t="shared" si="12"/>
        <v>0.55880711136258576</v>
      </c>
      <c r="BD55" s="4">
        <f t="shared" si="13"/>
        <v>0.35553432925743367</v>
      </c>
      <c r="BE55" s="4">
        <f t="shared" si="14"/>
        <v>0.59937709211636936</v>
      </c>
      <c r="BG55">
        <f t="shared" si="28"/>
        <v>54</v>
      </c>
      <c r="BH55">
        <f t="shared" si="27"/>
        <v>221</v>
      </c>
      <c r="BI55" s="42">
        <f t="shared" si="16"/>
        <v>0.33908046722412111</v>
      </c>
      <c r="BJ55" s="42">
        <f t="shared" si="17"/>
        <v>0.40997048598696872</v>
      </c>
      <c r="BK55" s="42">
        <f t="shared" si="18"/>
        <v>0.54395451773269188</v>
      </c>
      <c r="BL55" s="42">
        <f t="shared" si="19"/>
        <v>0.37711511540482745</v>
      </c>
      <c r="BM55" s="42">
        <f t="shared" si="20"/>
        <v>0.57733327707683346</v>
      </c>
      <c r="BN55" s="42">
        <f t="shared" si="21"/>
        <v>0.47675243377685544</v>
      </c>
    </row>
    <row r="56" spans="1:66" x14ac:dyDescent="0.25">
      <c r="A56" t="s">
        <v>314</v>
      </c>
      <c r="B56" t="s">
        <v>313</v>
      </c>
      <c r="C56" t="s">
        <v>77</v>
      </c>
      <c r="D56" t="s">
        <v>75</v>
      </c>
      <c r="E56" s="2">
        <v>439</v>
      </c>
      <c r="F56" s="2">
        <v>398</v>
      </c>
      <c r="G56" s="2">
        <v>37</v>
      </c>
      <c r="H56" s="2">
        <v>57</v>
      </c>
      <c r="I56" s="2">
        <v>81</v>
      </c>
      <c r="J56" s="2">
        <v>83</v>
      </c>
      <c r="K56" s="2">
        <v>40</v>
      </c>
      <c r="L56" s="2">
        <v>50.115474700927734</v>
      </c>
      <c r="M56" s="46" t="str">
        <f t="shared" si="6"/>
        <v>NRA*</v>
      </c>
      <c r="N56" s="2">
        <v>42.316783905029297</v>
      </c>
      <c r="O56" s="46" t="str">
        <f t="shared" si="7"/>
        <v>NRA*</v>
      </c>
      <c r="P56" s="2">
        <v>100</v>
      </c>
      <c r="Q56" s="46" t="str">
        <f t="shared" si="8"/>
        <v>NRA*</v>
      </c>
      <c r="R56" s="2">
        <v>11.055275917053223</v>
      </c>
      <c r="S56" s="2">
        <v>11.48023796081543</v>
      </c>
      <c r="T56" s="2">
        <v>75.675674438476563</v>
      </c>
      <c r="U56" s="4">
        <v>75.148773193359375</v>
      </c>
      <c r="V56" s="2">
        <v>93.827163696289063</v>
      </c>
      <c r="W56" s="2">
        <v>86.7779541015625</v>
      </c>
      <c r="X56" s="2">
        <v>72.5</v>
      </c>
      <c r="Y56" s="2">
        <v>68.036079406738281</v>
      </c>
      <c r="Z56" s="2">
        <v>79.518074035644531</v>
      </c>
      <c r="AA56" s="2">
        <v>72.756401062011719</v>
      </c>
      <c r="AB56" s="2">
        <v>90.990989685058594</v>
      </c>
      <c r="AC56" s="46" t="str">
        <f t="shared" si="9"/>
        <v>NRA*</v>
      </c>
      <c r="AD56" s="2">
        <v>35.962875366210938</v>
      </c>
      <c r="AE56" s="2">
        <v>33.495246887207031</v>
      </c>
      <c r="AF56" s="2"/>
      <c r="AG56" s="34">
        <f t="shared" si="10"/>
        <v>439</v>
      </c>
      <c r="AH56" s="34" t="str" cm="1">
        <f t="array" ref="AH56">IF(AG56="NR**","NR**",INDEX(trust_indicator_data!$A$2:$BE$127,(ROW()-ROW(trust_indicator_data!$A$1:$BE$1)),MATCH(selected_indic_name_adj,trust_indicator_data!$A$1:$BE$1,0)))</f>
        <v>NRA*</v>
      </c>
      <c r="AI56" s="34" t="str">
        <f>IF(AG56="NR**","NR**",IF(AH56="NRA*","NRA*",RANK(AH56,AH:AH,1)+COUNTIF($AH$2:AH56,AH56)-1))</f>
        <v>NRA*</v>
      </c>
      <c r="AJ56" s="34" cm="1">
        <f t="array" ref="AJ56">IF(AG56="NR**","NR**",INDEX(trust_indicator_data!$A$2:$BE$127,(ROW()-ROW(trust_indicator_data!$A$1:$BE$1)),MATCH(selected_indic_name_unadj,trust_indicator_data!$A$1:$BE$1,0)))</f>
        <v>50.115474700927734</v>
      </c>
      <c r="AK56" s="34">
        <f>IF(AG56="NR**","NR**",RANK(trust_indicator_data!AJ56,AJ:AJ,1)+COUNTIF($AJ$2:AJ56,AJ56)-1)</f>
        <v>69</v>
      </c>
      <c r="AM56" s="34" cm="1">
        <f t="array" ref="AM56">IF(AQ56&lt;10,0,INDEX(trust_indicator_data!$A$2:$BE$127,(ROW()-ROW(trust_indicator_data!$A$1:$BE$1)),MATCH(selected_indic_name_unadj,trust_indicator_data!$A$1:$BE$1,0)))</f>
        <v>50.115474700927734</v>
      </c>
      <c r="AN56" s="34">
        <f t="shared" si="11"/>
        <v>69</v>
      </c>
      <c r="AP56" s="34">
        <f>RANK(trust_indicator_data!$AQ56,AQ:AQ,1)+COUNTIF($AQ$2:AQ56,AQ56)-1</f>
        <v>112</v>
      </c>
      <c r="AQ56" s="34" cm="1">
        <f t="array" ref="AQ56">INDEX(trust_indicator_data!$A$2:$BE$127,(ROW()-ROW(trust_indicator_data!$A$1:$BE$1)),MATCH(selected_indic_denom,trust_indicator_data!$A$1:$BE$1,0))</f>
        <v>439</v>
      </c>
      <c r="AR56" s="34" cm="1">
        <f t="array" ref="AR56">INDEX(trust_indicator_data!$A$2:$BE$127,(ROW()-ROW(trust_indicator_data!$A$1:$BE$1)),MATCH(selected_indic_name_unadj,trust_indicator_data!$A$1:$BE$1,0))/100</f>
        <v>0.50115474700927731</v>
      </c>
      <c r="AS56" s="34">
        <f>IF(AQ56&lt;10,NA(),trust_indicator_data!$AR56)</f>
        <v>0.50115474700927731</v>
      </c>
      <c r="AU56" s="34">
        <f>INDEX(table_national_indic,MATCH($AU$1,national_indicator_data!$A$1:$A$17,0),MATCH(selected_indic_name_unadj,national_indicator_data!$A$1:$R$1,0))</f>
        <v>0.47675243377685544</v>
      </c>
      <c r="AV56" s="34">
        <f>INDEX(table_national_indic,MATCH($AV$1,national_indicator_data!$A$1:$A$7,0),MATCH(selected_indic_name_unadj,national_indicator_data!$A$1:$R$1,0))</f>
        <v>0.76214221292766271</v>
      </c>
      <c r="AW56" s="34">
        <f t="shared" si="22"/>
        <v>0.71441481693732789</v>
      </c>
      <c r="AX56" s="34">
        <f t="shared" si="23"/>
        <v>0.80986960891799753</v>
      </c>
      <c r="AY56" s="34">
        <f t="shared" si="24"/>
        <v>0.69055111894216059</v>
      </c>
      <c r="AZ56" s="34">
        <f t="shared" si="25"/>
        <v>0.83373330691316483</v>
      </c>
      <c r="BA56" s="34">
        <f>INDEX(table_national_indic,MATCH($BA$1,national_indicator_data!$A$1:$A$7,0),MATCH(selected_indic_name_unadj,national_indicator_data!$A$1:$R$1,0))</f>
        <v>0</v>
      </c>
      <c r="BB56" s="34">
        <f t="shared" si="26"/>
        <v>0.42925485284495873</v>
      </c>
      <c r="BC56" s="34">
        <f t="shared" si="12"/>
        <v>0.52446167684700207</v>
      </c>
      <c r="BD56" s="34">
        <f t="shared" si="13"/>
        <v>0.40572075992052831</v>
      </c>
      <c r="BE56" s="34">
        <f t="shared" si="14"/>
        <v>0.54825989553523646</v>
      </c>
      <c r="BG56">
        <f t="shared" si="28"/>
        <v>55</v>
      </c>
      <c r="BH56">
        <f t="shared" si="27"/>
        <v>222</v>
      </c>
      <c r="BI56" s="42">
        <f t="shared" si="16"/>
        <v>0.45754718780517578</v>
      </c>
      <c r="BJ56" s="42">
        <f t="shared" si="17"/>
        <v>0.41011968501800544</v>
      </c>
      <c r="BK56" s="42">
        <f t="shared" si="18"/>
        <v>0.54380342903886791</v>
      </c>
      <c r="BL56" s="42">
        <f t="shared" si="19"/>
        <v>0.37733566077679076</v>
      </c>
      <c r="BM56" s="42">
        <f t="shared" si="20"/>
        <v>0.57710849596091263</v>
      </c>
      <c r="BN56" s="42">
        <f t="shared" si="21"/>
        <v>0.47675243377685544</v>
      </c>
    </row>
    <row r="57" spans="1:66" x14ac:dyDescent="0.25">
      <c r="A57" t="s">
        <v>140</v>
      </c>
      <c r="B57" t="s">
        <v>139</v>
      </c>
      <c r="C57" t="s">
        <v>27</v>
      </c>
      <c r="D57" t="s">
        <v>25</v>
      </c>
      <c r="E57" s="2">
        <v>136</v>
      </c>
      <c r="F57" s="2">
        <v>118</v>
      </c>
      <c r="G57" s="2">
        <v>13</v>
      </c>
      <c r="H57" s="2">
        <v>19</v>
      </c>
      <c r="I57" s="2">
        <v>25</v>
      </c>
      <c r="J57" s="2">
        <v>42</v>
      </c>
      <c r="K57" s="2">
        <v>8</v>
      </c>
      <c r="L57" s="2">
        <v>58.715595245361328</v>
      </c>
      <c r="M57" s="46" t="str">
        <f t="shared" si="6"/>
        <v>NRA*</v>
      </c>
      <c r="N57" s="2">
        <v>71.755722045898438</v>
      </c>
      <c r="O57" s="46" t="str">
        <f t="shared" si="7"/>
        <v>NRA*</v>
      </c>
      <c r="P57" s="2">
        <v>84.210525512695313</v>
      </c>
      <c r="Q57" s="46" t="str">
        <f t="shared" si="8"/>
        <v>NRA*</v>
      </c>
      <c r="R57" s="2">
        <v>13.559322357177734</v>
      </c>
      <c r="S57" s="2">
        <v>14.147607803344727</v>
      </c>
      <c r="T57" s="2">
        <v>84.615386962890625</v>
      </c>
      <c r="U57" s="4">
        <v>74.36279296875</v>
      </c>
      <c r="V57" s="2">
        <v>68</v>
      </c>
      <c r="W57" s="2">
        <v>70.224433898925781</v>
      </c>
      <c r="X57" s="2"/>
      <c r="Y57" s="2"/>
      <c r="Z57" s="2">
        <v>54.761905670166016</v>
      </c>
      <c r="AA57" s="2">
        <v>51.075962066650391</v>
      </c>
      <c r="AB57" s="2">
        <v>100</v>
      </c>
      <c r="AC57" s="46" t="str">
        <f t="shared" si="9"/>
        <v>NRA*</v>
      </c>
      <c r="AD57" s="2">
        <v>43.703704833984375</v>
      </c>
      <c r="AE57" s="2">
        <v>48.859264373779297</v>
      </c>
      <c r="AF57" s="2"/>
      <c r="AG57" s="4">
        <f t="shared" si="10"/>
        <v>136</v>
      </c>
      <c r="AH57" s="4" t="str" cm="1">
        <f t="array" ref="AH57">IF(AG57="NR**","NR**",INDEX(trust_indicator_data!$A$2:$BE$127,(ROW()-ROW(trust_indicator_data!$A$1:$BE$1)),MATCH(selected_indic_name_adj,trust_indicator_data!$A$1:$BE$1,0)))</f>
        <v>NRA*</v>
      </c>
      <c r="AI57" s="4" t="str">
        <f>IF(AG57="NR**","NR**",IF(AH57="NRA*","NRA*",RANK(AH57,AH:AH,1)+COUNTIF($AH$2:AH57,AH57)-1))</f>
        <v>NRA*</v>
      </c>
      <c r="AJ57" s="4" cm="1">
        <f t="array" ref="AJ57">IF(AG57="NR**","NR**",INDEX(trust_indicator_data!$A$2:$BE$127,(ROW()-ROW(trust_indicator_data!$A$1:$BE$1)),MATCH(selected_indic_name_unadj,trust_indicator_data!$A$1:$BE$1,0)))</f>
        <v>58.715595245361328</v>
      </c>
      <c r="AK57" s="4">
        <f>IF(AG57="NR**","NR**",RANK(trust_indicator_data!AJ57,AJ:AJ,1)+COUNTIF($AJ$2:AJ57,AJ57)-1)</f>
        <v>116</v>
      </c>
      <c r="AM57" s="4" cm="1">
        <f t="array" ref="AM57">IF(AQ57&lt;10,0,INDEX(trust_indicator_data!$A$2:$BE$127,(ROW()-ROW(trust_indicator_data!$A$1:$BE$1)),MATCH(selected_indic_name_unadj,trust_indicator_data!$A$1:$BE$1,0)))</f>
        <v>58.715595245361328</v>
      </c>
      <c r="AN57" s="4">
        <f t="shared" si="11"/>
        <v>116</v>
      </c>
      <c r="AP57" s="4">
        <f>RANK(trust_indicator_data!$AQ57,AQ:AQ,1)+COUNTIF($AQ$2:AQ57,AQ57)-1</f>
        <v>24</v>
      </c>
      <c r="AQ57" s="4" cm="1">
        <f t="array" ref="AQ57">INDEX(trust_indicator_data!$A$2:$BE$127,(ROW()-ROW(trust_indicator_data!$A$1:$BE$1)),MATCH(selected_indic_denom,trust_indicator_data!$A$1:$BE$1,0))</f>
        <v>136</v>
      </c>
      <c r="AR57" s="4" cm="1">
        <f t="array" ref="AR57">INDEX(trust_indicator_data!$A$2:$BE$127,(ROW()-ROW(trust_indicator_data!$A$1:$BE$1)),MATCH(selected_indic_name_unadj,trust_indicator_data!$A$1:$BE$1,0))/100</f>
        <v>0.58715595245361329</v>
      </c>
      <c r="AS57" s="4">
        <f>IF(AQ57&lt;10,NA(),trust_indicator_data!$AR57)</f>
        <v>0.58715595245361329</v>
      </c>
      <c r="AU57" s="4">
        <f>INDEX(table_national_indic,MATCH($AU$1,national_indicator_data!$A$1:$A$17,0),MATCH(selected_indic_name_unadj,national_indicator_data!$A$1:$R$1,0))</f>
        <v>0.47675243377685544</v>
      </c>
      <c r="AV57" s="4">
        <f>INDEX(table_national_indic,MATCH($AV$1,national_indicator_data!$A$1:$A$7,0),MATCH(selected_indic_name_unadj,national_indicator_data!$A$1:$R$1,0))</f>
        <v>0.76214221292766271</v>
      </c>
      <c r="AW57" s="4">
        <f t="shared" si="22"/>
        <v>0.6763929203564083</v>
      </c>
      <c r="AX57" s="4">
        <f t="shared" si="23"/>
        <v>0.84789150549891712</v>
      </c>
      <c r="AY57" s="4">
        <f t="shared" si="24"/>
        <v>0.6335182740707811</v>
      </c>
      <c r="AZ57" s="4">
        <f t="shared" si="25"/>
        <v>0.89076615178454432</v>
      </c>
      <c r="BA57" s="4">
        <f>INDEX(table_national_indic,MATCH($BA$1,national_indicator_data!$A$1:$A$7,0),MATCH(selected_indic_name_unadj,national_indicator_data!$A$1:$R$1,0))</f>
        <v>0</v>
      </c>
      <c r="BB57" s="4">
        <f t="shared" si="26"/>
        <v>0.39185618454527699</v>
      </c>
      <c r="BC57" s="4">
        <f t="shared" si="12"/>
        <v>0.56233076073569621</v>
      </c>
      <c r="BD57" s="4">
        <f t="shared" si="13"/>
        <v>0.35044501839364511</v>
      </c>
      <c r="BE57" s="4">
        <f t="shared" si="14"/>
        <v>0.60458982568070774</v>
      </c>
      <c r="BG57">
        <f t="shared" si="28"/>
        <v>56</v>
      </c>
      <c r="BH57">
        <f t="shared" si="27"/>
        <v>224</v>
      </c>
      <c r="BI57" s="42">
        <f t="shared" si="16"/>
        <v>0.44444442749023438</v>
      </c>
      <c r="BJ57" s="42">
        <f t="shared" si="17"/>
        <v>0.4104151045623341</v>
      </c>
      <c r="BK57" s="42">
        <f t="shared" si="18"/>
        <v>0.54350428070951973</v>
      </c>
      <c r="BL57" s="42">
        <f t="shared" si="19"/>
        <v>0.37777238751749409</v>
      </c>
      <c r="BM57" s="42">
        <f t="shared" si="20"/>
        <v>0.5766634108088029</v>
      </c>
      <c r="BN57" s="42">
        <f t="shared" si="21"/>
        <v>0.47675243377685544</v>
      </c>
    </row>
    <row r="58" spans="1:66" x14ac:dyDescent="0.25">
      <c r="A58" t="s">
        <v>216</v>
      </c>
      <c r="B58" t="s">
        <v>215</v>
      </c>
      <c r="C58" t="s">
        <v>24</v>
      </c>
      <c r="D58" t="s">
        <v>22</v>
      </c>
      <c r="E58" s="2">
        <v>377</v>
      </c>
      <c r="F58" s="2">
        <v>350</v>
      </c>
      <c r="G58" s="2">
        <v>20</v>
      </c>
      <c r="H58" s="2">
        <v>82</v>
      </c>
      <c r="I58" s="2">
        <v>97</v>
      </c>
      <c r="J58" s="2">
        <v>70</v>
      </c>
      <c r="K58" s="2">
        <v>25</v>
      </c>
      <c r="L58" s="2">
        <v>43.888889312744141</v>
      </c>
      <c r="M58" s="46" t="str">
        <f t="shared" si="6"/>
        <v>NRA*</v>
      </c>
      <c r="N58" s="2">
        <v>55.722892761230469</v>
      </c>
      <c r="O58" s="46" t="str">
        <f t="shared" si="7"/>
        <v>NRA*</v>
      </c>
      <c r="P58" s="2">
        <v>84.146339416503906</v>
      </c>
      <c r="Q58" s="46" t="str">
        <f t="shared" si="8"/>
        <v>NRA*</v>
      </c>
      <c r="R58" s="2">
        <v>19.714284896850586</v>
      </c>
      <c r="S58" s="2">
        <v>18.205766677856445</v>
      </c>
      <c r="T58" s="2">
        <v>65</v>
      </c>
      <c r="U58" s="4">
        <v>58.817447662353516</v>
      </c>
      <c r="V58" s="2">
        <v>76.288658142089844</v>
      </c>
      <c r="W58" s="2">
        <v>79.724411010742188</v>
      </c>
      <c r="X58" s="2">
        <v>44</v>
      </c>
      <c r="Y58" s="2">
        <v>52.841899871826172</v>
      </c>
      <c r="Z58" s="2">
        <v>50</v>
      </c>
      <c r="AA58" s="2">
        <v>51.049625396728516</v>
      </c>
      <c r="AB58" s="2">
        <v>84.337348937988281</v>
      </c>
      <c r="AC58" s="46" t="str">
        <f t="shared" si="9"/>
        <v>NRA*</v>
      </c>
      <c r="AD58" s="2">
        <v>33.962265014648438</v>
      </c>
      <c r="AE58" s="2">
        <v>33.687629699707031</v>
      </c>
      <c r="AF58" s="2"/>
      <c r="AG58" s="34">
        <f t="shared" si="10"/>
        <v>377</v>
      </c>
      <c r="AH58" s="34" t="str" cm="1">
        <f t="array" ref="AH58">IF(AG58="NR**","NR**",INDEX(trust_indicator_data!$A$2:$BE$127,(ROW()-ROW(trust_indicator_data!$A$1:$BE$1)),MATCH(selected_indic_name_adj,trust_indicator_data!$A$1:$BE$1,0)))</f>
        <v>NRA*</v>
      </c>
      <c r="AI58" s="34" t="str">
        <f>IF(AG58="NR**","NR**",IF(AH58="NRA*","NRA*",RANK(AH58,AH:AH,1)+COUNTIF($AH$2:AH58,AH58)-1))</f>
        <v>NRA*</v>
      </c>
      <c r="AJ58" s="34" cm="1">
        <f t="array" ref="AJ58">IF(AG58="NR**","NR**",INDEX(trust_indicator_data!$A$2:$BE$127,(ROW()-ROW(trust_indicator_data!$A$1:$BE$1)),MATCH(selected_indic_name_unadj,trust_indicator_data!$A$1:$BE$1,0)))</f>
        <v>43.888889312744141</v>
      </c>
      <c r="AK58" s="34">
        <f>IF(AG58="NR**","NR**",RANK(trust_indicator_data!AJ58,AJ:AJ,1)+COUNTIF($AJ$2:AJ58,AJ58)-1)</f>
        <v>33</v>
      </c>
      <c r="AM58" s="34" cm="1">
        <f t="array" ref="AM58">IF(AQ58&lt;10,0,INDEX(trust_indicator_data!$A$2:$BE$127,(ROW()-ROW(trust_indicator_data!$A$1:$BE$1)),MATCH(selected_indic_name_unadj,trust_indicator_data!$A$1:$BE$1,0)))</f>
        <v>43.888889312744141</v>
      </c>
      <c r="AN58" s="34">
        <f t="shared" si="11"/>
        <v>33</v>
      </c>
      <c r="AP58" s="34">
        <f>RANK(trust_indicator_data!$AQ58,AQ:AQ,1)+COUNTIF($AQ$2:AQ58,AQ58)-1</f>
        <v>104</v>
      </c>
      <c r="AQ58" s="34" cm="1">
        <f t="array" ref="AQ58">INDEX(trust_indicator_data!$A$2:$BE$127,(ROW()-ROW(trust_indicator_data!$A$1:$BE$1)),MATCH(selected_indic_denom,trust_indicator_data!$A$1:$BE$1,0))</f>
        <v>377</v>
      </c>
      <c r="AR58" s="34" cm="1">
        <f t="array" ref="AR58">INDEX(trust_indicator_data!$A$2:$BE$127,(ROW()-ROW(trust_indicator_data!$A$1:$BE$1)),MATCH(selected_indic_name_unadj,trust_indicator_data!$A$1:$BE$1,0))/100</f>
        <v>0.43888889312744139</v>
      </c>
      <c r="AS58" s="34">
        <f>IF(AQ58&lt;10,NA(),trust_indicator_data!$AR58)</f>
        <v>0.43888889312744139</v>
      </c>
      <c r="AU58" s="34">
        <f>INDEX(table_national_indic,MATCH($AU$1,national_indicator_data!$A$1:$A$17,0),MATCH(selected_indic_name_unadj,national_indicator_data!$A$1:$R$1,0))</f>
        <v>0.47675243377685544</v>
      </c>
      <c r="AV58" s="34">
        <f>INDEX(table_national_indic,MATCH($AV$1,national_indicator_data!$A$1:$A$7,0),MATCH(selected_indic_name_unadj,national_indicator_data!$A$1:$R$1,0))</f>
        <v>0.76214221292766271</v>
      </c>
      <c r="AW58" s="34">
        <f t="shared" si="22"/>
        <v>0.71063959266520227</v>
      </c>
      <c r="AX58" s="34">
        <f t="shared" si="23"/>
        <v>0.81364483319012315</v>
      </c>
      <c r="AY58" s="34">
        <f t="shared" si="24"/>
        <v>0.68488828253397205</v>
      </c>
      <c r="AZ58" s="34">
        <f t="shared" si="25"/>
        <v>0.83939614332135337</v>
      </c>
      <c r="BA58" s="34">
        <f>INDEX(table_national_indic,MATCH($BA$1,national_indicator_data!$A$1:$A$7,0),MATCH(selected_indic_name_unadj,national_indicator_data!$A$1:$R$1,0))</f>
        <v>0</v>
      </c>
      <c r="BB58" s="34">
        <f t="shared" si="26"/>
        <v>0.42551966074170983</v>
      </c>
      <c r="BC58" s="34">
        <f t="shared" si="12"/>
        <v>0.52823164732780037</v>
      </c>
      <c r="BD58" s="34">
        <f t="shared" si="13"/>
        <v>0.40016566914585511</v>
      </c>
      <c r="BE58" s="34">
        <f t="shared" si="14"/>
        <v>0.55389307689810585</v>
      </c>
      <c r="BG58">
        <f t="shared" si="28"/>
        <v>57</v>
      </c>
      <c r="BH58">
        <f t="shared" si="27"/>
        <v>225</v>
      </c>
      <c r="BI58" s="42">
        <f t="shared" si="16"/>
        <v>0.51834861755371098</v>
      </c>
      <c r="BJ58" s="42">
        <f t="shared" si="17"/>
        <v>0.41056134700106361</v>
      </c>
      <c r="BK58" s="42">
        <f t="shared" si="18"/>
        <v>0.5433561986999752</v>
      </c>
      <c r="BL58" s="42">
        <f t="shared" si="19"/>
        <v>0.37798860073002238</v>
      </c>
      <c r="BM58" s="42">
        <f t="shared" si="20"/>
        <v>0.57644307392706762</v>
      </c>
      <c r="BN58" s="42">
        <f t="shared" si="21"/>
        <v>0.47675243377685544</v>
      </c>
    </row>
    <row r="59" spans="1:66" x14ac:dyDescent="0.25">
      <c r="A59" t="s">
        <v>280</v>
      </c>
      <c r="B59" t="s">
        <v>279</v>
      </c>
      <c r="C59" t="s">
        <v>54</v>
      </c>
      <c r="D59" t="s">
        <v>52</v>
      </c>
      <c r="E59" s="2">
        <v>293</v>
      </c>
      <c r="F59" s="2">
        <v>272</v>
      </c>
      <c r="G59" s="2">
        <v>20</v>
      </c>
      <c r="H59" s="2">
        <v>32</v>
      </c>
      <c r="I59" s="2">
        <v>43</v>
      </c>
      <c r="J59" s="2">
        <v>59</v>
      </c>
      <c r="K59" s="2">
        <v>25</v>
      </c>
      <c r="L59" s="2">
        <v>53.278690338134766</v>
      </c>
      <c r="M59" s="46" t="str">
        <f t="shared" si="6"/>
        <v>NRA*</v>
      </c>
      <c r="N59" s="2">
        <v>52.016128540039063</v>
      </c>
      <c r="O59" s="46" t="str">
        <f t="shared" si="7"/>
        <v>NRA*</v>
      </c>
      <c r="P59" s="2">
        <v>68.75</v>
      </c>
      <c r="Q59" s="46" t="str">
        <f t="shared" si="8"/>
        <v>NRA*</v>
      </c>
      <c r="R59" s="2">
        <v>8.8235292434692383</v>
      </c>
      <c r="S59" s="2">
        <v>12.833953857421875</v>
      </c>
      <c r="T59" s="2">
        <v>70</v>
      </c>
      <c r="U59" s="4">
        <v>64.791900634765625</v>
      </c>
      <c r="V59" s="2">
        <v>65.116279602050781</v>
      </c>
      <c r="W59" s="2">
        <v>68.7496337890625</v>
      </c>
      <c r="X59" s="2">
        <v>32</v>
      </c>
      <c r="Y59" s="2">
        <v>40.2496337890625</v>
      </c>
      <c r="Z59" s="2">
        <v>62.711864471435547</v>
      </c>
      <c r="AA59" s="2">
        <v>62.618862152099609</v>
      </c>
      <c r="AB59" s="2">
        <v>98.802398681640625</v>
      </c>
      <c r="AC59" s="46" t="str">
        <f t="shared" si="9"/>
        <v>NRA*</v>
      </c>
      <c r="AD59" s="2">
        <v>31.228069305419922</v>
      </c>
      <c r="AE59" s="2">
        <v>30.06134033203125</v>
      </c>
      <c r="AF59" s="2"/>
      <c r="AG59" s="4">
        <f t="shared" si="10"/>
        <v>293</v>
      </c>
      <c r="AH59" s="4" t="str" cm="1">
        <f t="array" ref="AH59">IF(AG59="NR**","NR**",INDEX(trust_indicator_data!$A$2:$BE$127,(ROW()-ROW(trust_indicator_data!$A$1:$BE$1)),MATCH(selected_indic_name_adj,trust_indicator_data!$A$1:$BE$1,0)))</f>
        <v>NRA*</v>
      </c>
      <c r="AI59" s="4" t="str">
        <f>IF(AG59="NR**","NR**",IF(AH59="NRA*","NRA*",RANK(AH59,AH:AH,1)+COUNTIF($AH$2:AH59,AH59)-1))</f>
        <v>NRA*</v>
      </c>
      <c r="AJ59" s="4" cm="1">
        <f t="array" ref="AJ59">IF(AG59="NR**","NR**",INDEX(trust_indicator_data!$A$2:$BE$127,(ROW()-ROW(trust_indicator_data!$A$1:$BE$1)),MATCH(selected_indic_name_unadj,trust_indicator_data!$A$1:$BE$1,0)))</f>
        <v>53.278690338134766</v>
      </c>
      <c r="AK59" s="4">
        <f>IF(AG59="NR**","NR**",RANK(trust_indicator_data!AJ59,AJ:AJ,1)+COUNTIF($AJ$2:AJ59,AJ59)-1)</f>
        <v>89</v>
      </c>
      <c r="AM59" s="4" cm="1">
        <f t="array" ref="AM59">IF(AQ59&lt;10,0,INDEX(trust_indicator_data!$A$2:$BE$127,(ROW()-ROW(trust_indicator_data!$A$1:$BE$1)),MATCH(selected_indic_name_unadj,trust_indicator_data!$A$1:$BE$1,0)))</f>
        <v>53.278690338134766</v>
      </c>
      <c r="AN59" s="4">
        <f t="shared" si="11"/>
        <v>89</v>
      </c>
      <c r="AP59" s="4">
        <f>RANK(trust_indicator_data!$AQ59,AQ:AQ,1)+COUNTIF($AQ$2:AQ59,AQ59)-1</f>
        <v>84</v>
      </c>
      <c r="AQ59" s="4" cm="1">
        <f t="array" ref="AQ59">INDEX(trust_indicator_data!$A$2:$BE$127,(ROW()-ROW(trust_indicator_data!$A$1:$BE$1)),MATCH(selected_indic_denom,trust_indicator_data!$A$1:$BE$1,0))</f>
        <v>293</v>
      </c>
      <c r="AR59" s="4" cm="1">
        <f t="array" ref="AR59">INDEX(trust_indicator_data!$A$2:$BE$127,(ROW()-ROW(trust_indicator_data!$A$1:$BE$1)),MATCH(selected_indic_name_unadj,trust_indicator_data!$A$1:$BE$1,0))/100</f>
        <v>0.53278690338134771</v>
      </c>
      <c r="AS59" s="4">
        <f>IF(AQ59&lt;10,NA(),trust_indicator_data!$AR59)</f>
        <v>0.53278690338134771</v>
      </c>
      <c r="AU59" s="4">
        <f>INDEX(table_national_indic,MATCH($AU$1,national_indicator_data!$A$1:$A$17,0),MATCH(selected_indic_name_unadj,national_indicator_data!$A$1:$R$1,0))</f>
        <v>0.47675243377685544</v>
      </c>
      <c r="AV59" s="4">
        <f>INDEX(table_national_indic,MATCH($AV$1,national_indicator_data!$A$1:$A$7,0),MATCH(selected_indic_name_unadj,national_indicator_data!$A$1:$R$1,0))</f>
        <v>0.76214221292766271</v>
      </c>
      <c r="AW59" s="4">
        <f t="shared" si="22"/>
        <v>0.7037215891439641</v>
      </c>
      <c r="AX59" s="4">
        <f t="shared" si="23"/>
        <v>0.82056283671136132</v>
      </c>
      <c r="AY59" s="4">
        <f t="shared" si="24"/>
        <v>0.67451127725211479</v>
      </c>
      <c r="AZ59" s="4">
        <f t="shared" si="25"/>
        <v>0.84977314860321063</v>
      </c>
      <c r="BA59" s="4">
        <f>INDEX(table_national_indic,MATCH($BA$1,national_indicator_data!$A$1:$A$7,0),MATCH(selected_indic_name_unadj,national_indicator_data!$A$1:$R$1,0))</f>
        <v>0</v>
      </c>
      <c r="BB59" s="4">
        <f t="shared" si="26"/>
        <v>0.41868618777621402</v>
      </c>
      <c r="BC59" s="4">
        <f t="shared" si="12"/>
        <v>0.53513569179814446</v>
      </c>
      <c r="BD59" s="4">
        <f t="shared" si="13"/>
        <v>0.39001985063852457</v>
      </c>
      <c r="BE59" s="4">
        <f t="shared" si="14"/>
        <v>0.56419727997754421</v>
      </c>
      <c r="BG59">
        <f t="shared" si="28"/>
        <v>58</v>
      </c>
      <c r="BH59">
        <f t="shared" si="27"/>
        <v>228</v>
      </c>
      <c r="BI59" s="42">
        <f t="shared" si="16"/>
        <v>0.52606636047363287</v>
      </c>
      <c r="BJ59" s="42">
        <f t="shared" si="17"/>
        <v>0.41099433302062677</v>
      </c>
      <c r="BK59" s="42">
        <f t="shared" si="18"/>
        <v>0.54291779064576529</v>
      </c>
      <c r="BL59" s="42">
        <f t="shared" si="19"/>
        <v>0.37862882573745554</v>
      </c>
      <c r="BM59" s="42">
        <f t="shared" si="20"/>
        <v>0.57579069423137341</v>
      </c>
      <c r="BN59" s="42">
        <f t="shared" si="21"/>
        <v>0.47675243377685544</v>
      </c>
    </row>
    <row r="60" spans="1:66" x14ac:dyDescent="0.25">
      <c r="A60" t="s">
        <v>232</v>
      </c>
      <c r="B60" t="s">
        <v>231</v>
      </c>
      <c r="C60" t="s">
        <v>48</v>
      </c>
      <c r="D60" t="s">
        <v>46</v>
      </c>
      <c r="E60" s="2">
        <v>232</v>
      </c>
      <c r="F60" s="2">
        <v>197</v>
      </c>
      <c r="G60" s="2">
        <v>34</v>
      </c>
      <c r="H60" s="2">
        <v>14</v>
      </c>
      <c r="I60" s="2">
        <v>22</v>
      </c>
      <c r="J60" s="2">
        <v>34</v>
      </c>
      <c r="K60" s="2">
        <v>8</v>
      </c>
      <c r="L60" s="2">
        <v>58.851673126220703</v>
      </c>
      <c r="M60" s="46" t="str">
        <f t="shared" si="6"/>
        <v>NRA*</v>
      </c>
      <c r="N60" s="2">
        <v>43.786983489990234</v>
      </c>
      <c r="O60" s="46" t="str">
        <f t="shared" si="7"/>
        <v>NRA*</v>
      </c>
      <c r="P60" s="2">
        <v>92.857139587402344</v>
      </c>
      <c r="Q60" s="46" t="str">
        <f t="shared" si="8"/>
        <v>NRA*</v>
      </c>
      <c r="R60" s="2">
        <v>4.5685276985168457</v>
      </c>
      <c r="S60" s="2">
        <v>6.5621781349182129</v>
      </c>
      <c r="T60" s="2">
        <v>82.352943420410156</v>
      </c>
      <c r="U60" s="4">
        <v>80.358627319335938</v>
      </c>
      <c r="V60" s="2">
        <v>77.272727966308594</v>
      </c>
      <c r="W60" s="2">
        <v>75.697174072265625</v>
      </c>
      <c r="X60" s="2"/>
      <c r="Y60" s="2"/>
      <c r="Z60" s="2">
        <v>79.411766052246094</v>
      </c>
      <c r="AA60" s="2">
        <v>75.058280944824219</v>
      </c>
      <c r="AB60" s="2">
        <v>96.052635192871094</v>
      </c>
      <c r="AC60" s="46" t="str">
        <f t="shared" si="9"/>
        <v>NRA*</v>
      </c>
      <c r="AD60" s="2">
        <v>30.49327278137207</v>
      </c>
      <c r="AE60" s="2">
        <v>30.143087387084961</v>
      </c>
      <c r="AF60" s="2"/>
      <c r="AG60" s="34">
        <f t="shared" si="10"/>
        <v>232</v>
      </c>
      <c r="AH60" s="34" t="str" cm="1">
        <f t="array" ref="AH60">IF(AG60="NR**","NR**",INDEX(trust_indicator_data!$A$2:$BE$127,(ROW()-ROW(trust_indicator_data!$A$1:$BE$1)),MATCH(selected_indic_name_adj,trust_indicator_data!$A$1:$BE$1,0)))</f>
        <v>NRA*</v>
      </c>
      <c r="AI60" s="34" t="str">
        <f>IF(AG60="NR**","NR**",IF(AH60="NRA*","NRA*",RANK(AH60,AH:AH,1)+COUNTIF($AH$2:AH60,AH60)-1))</f>
        <v>NRA*</v>
      </c>
      <c r="AJ60" s="34" cm="1">
        <f t="array" ref="AJ60">IF(AG60="NR**","NR**",INDEX(trust_indicator_data!$A$2:$BE$127,(ROW()-ROW(trust_indicator_data!$A$1:$BE$1)),MATCH(selected_indic_name_unadj,trust_indicator_data!$A$1:$BE$1,0)))</f>
        <v>58.851673126220703</v>
      </c>
      <c r="AK60" s="34">
        <f>IF(AG60="NR**","NR**",RANK(trust_indicator_data!AJ60,AJ:AJ,1)+COUNTIF($AJ$2:AJ60,AJ60)-1)</f>
        <v>117</v>
      </c>
      <c r="AM60" s="34" cm="1">
        <f t="array" ref="AM60">IF(AQ60&lt;10,0,INDEX(trust_indicator_data!$A$2:$BE$127,(ROW()-ROW(trust_indicator_data!$A$1:$BE$1)),MATCH(selected_indic_name_unadj,trust_indicator_data!$A$1:$BE$1,0)))</f>
        <v>58.851673126220703</v>
      </c>
      <c r="AN60" s="34">
        <f t="shared" si="11"/>
        <v>117</v>
      </c>
      <c r="AP60" s="34">
        <f>RANK(trust_indicator_data!$AQ60,AQ:AQ,1)+COUNTIF($AQ$2:AQ60,AQ60)-1</f>
        <v>60</v>
      </c>
      <c r="AQ60" s="34" cm="1">
        <f t="array" ref="AQ60">INDEX(trust_indicator_data!$A$2:$BE$127,(ROW()-ROW(trust_indicator_data!$A$1:$BE$1)),MATCH(selected_indic_denom,trust_indicator_data!$A$1:$BE$1,0))</f>
        <v>232</v>
      </c>
      <c r="AR60" s="34" cm="1">
        <f t="array" ref="AR60">INDEX(trust_indicator_data!$A$2:$BE$127,(ROW()-ROW(trust_indicator_data!$A$1:$BE$1)),MATCH(selected_indic_name_unadj,trust_indicator_data!$A$1:$BE$1,0))/100</f>
        <v>0.58851673126220705</v>
      </c>
      <c r="AS60" s="34">
        <f>IF(AQ60&lt;10,NA(),trust_indicator_data!$AR60)</f>
        <v>0.58851673126220705</v>
      </c>
      <c r="AU60" s="34">
        <f>INDEX(table_national_indic,MATCH($AU$1,national_indicator_data!$A$1:$A$17,0),MATCH(selected_indic_name_unadj,national_indicator_data!$A$1:$R$1,0))</f>
        <v>0.47675243377685544</v>
      </c>
      <c r="AV60" s="34">
        <f>INDEX(table_national_indic,MATCH($AV$1,national_indicator_data!$A$1:$A$7,0),MATCH(selected_indic_name_unadj,national_indicator_data!$A$1:$R$1,0))</f>
        <v>0.76214221292766271</v>
      </c>
      <c r="AW60" s="34">
        <f t="shared" si="22"/>
        <v>0.69648899649780138</v>
      </c>
      <c r="AX60" s="34">
        <f t="shared" si="23"/>
        <v>0.82779542935752404</v>
      </c>
      <c r="AY60" s="34">
        <f t="shared" si="24"/>
        <v>0.66366238828287083</v>
      </c>
      <c r="AZ60" s="34">
        <f t="shared" si="25"/>
        <v>0.86062203757245459</v>
      </c>
      <c r="BA60" s="34">
        <f>INDEX(table_national_indic,MATCH($BA$1,national_indicator_data!$A$1:$A$7,0),MATCH(selected_indic_name_unadj,national_indicator_data!$A$1:$R$1,0))</f>
        <v>0</v>
      </c>
      <c r="BB60" s="34">
        <f t="shared" si="26"/>
        <v>0.41155863473162391</v>
      </c>
      <c r="BC60" s="34">
        <f t="shared" si="12"/>
        <v>0.54234647736929364</v>
      </c>
      <c r="BD60" s="34">
        <f t="shared" si="13"/>
        <v>0.37946338206555236</v>
      </c>
      <c r="BE60" s="34">
        <f t="shared" si="14"/>
        <v>0.57494041904895998</v>
      </c>
      <c r="BG60">
        <f t="shared" si="28"/>
        <v>59</v>
      </c>
      <c r="BH60">
        <f t="shared" si="27"/>
        <v>232</v>
      </c>
      <c r="BI60" s="42">
        <f t="shared" si="16"/>
        <v>0.45238094329833983</v>
      </c>
      <c r="BJ60" s="42">
        <f t="shared" si="17"/>
        <v>0.41155863473162391</v>
      </c>
      <c r="BK60" s="42">
        <f t="shared" si="18"/>
        <v>0.54234647736929364</v>
      </c>
      <c r="BL60" s="42">
        <f t="shared" si="19"/>
        <v>0.37946338206555236</v>
      </c>
      <c r="BM60" s="42">
        <f t="shared" si="20"/>
        <v>0.57494041904895998</v>
      </c>
      <c r="BN60" s="42">
        <f t="shared" si="21"/>
        <v>0.47675243377685544</v>
      </c>
    </row>
    <row r="61" spans="1:66" x14ac:dyDescent="0.25">
      <c r="A61" t="s">
        <v>108</v>
      </c>
      <c r="B61" t="s">
        <v>107</v>
      </c>
      <c r="C61" t="s">
        <v>42</v>
      </c>
      <c r="D61" t="s">
        <v>40</v>
      </c>
      <c r="E61" s="2">
        <v>126</v>
      </c>
      <c r="F61" s="2">
        <v>113</v>
      </c>
      <c r="G61" s="2">
        <v>11</v>
      </c>
      <c r="H61" s="2">
        <v>7</v>
      </c>
      <c r="I61" s="2">
        <v>9</v>
      </c>
      <c r="J61" s="2">
        <v>12</v>
      </c>
      <c r="K61" s="2">
        <v>7</v>
      </c>
      <c r="L61" s="2">
        <v>48.148147583007813</v>
      </c>
      <c r="M61" s="46" t="str">
        <f t="shared" si="6"/>
        <v>NRA*</v>
      </c>
      <c r="N61" s="2">
        <v>50</v>
      </c>
      <c r="O61" s="46" t="str">
        <f t="shared" si="7"/>
        <v>NRA*</v>
      </c>
      <c r="P61" s="2"/>
      <c r="Q61" s="46" t="str">
        <f t="shared" si="8"/>
        <v>NRA*</v>
      </c>
      <c r="R61" s="2">
        <v>18.584070205688477</v>
      </c>
      <c r="S61" s="2">
        <v>19.154651641845703</v>
      </c>
      <c r="T61" s="2">
        <v>90.909088134765625</v>
      </c>
      <c r="U61" s="4">
        <v>91.919540405273438</v>
      </c>
      <c r="V61" s="2"/>
      <c r="W61" s="2"/>
      <c r="X61" s="2"/>
      <c r="Y61" s="2"/>
      <c r="Z61" s="2">
        <v>83.333335876464844</v>
      </c>
      <c r="AA61" s="2">
        <v>73.041984558105469</v>
      </c>
      <c r="AB61" s="2">
        <v>96.511627197265625</v>
      </c>
      <c r="AC61" s="46" t="str">
        <f t="shared" si="9"/>
        <v>NRA*</v>
      </c>
      <c r="AD61" s="2">
        <v>38.211383819580078</v>
      </c>
      <c r="AE61" s="2">
        <v>41.334800720214844</v>
      </c>
      <c r="AF61" s="2"/>
      <c r="AG61" s="4">
        <f t="shared" si="10"/>
        <v>126</v>
      </c>
      <c r="AH61" s="4" t="str" cm="1">
        <f t="array" ref="AH61">IF(AG61="NR**","NR**",INDEX(trust_indicator_data!$A$2:$BE$127,(ROW()-ROW(trust_indicator_data!$A$1:$BE$1)),MATCH(selected_indic_name_adj,trust_indicator_data!$A$1:$BE$1,0)))</f>
        <v>NRA*</v>
      </c>
      <c r="AI61" s="4" t="str">
        <f>IF(AG61="NR**","NR**",IF(AH61="NRA*","NRA*",RANK(AH61,AH:AH,1)+COUNTIF($AH$2:AH61,AH61)-1))</f>
        <v>NRA*</v>
      </c>
      <c r="AJ61" s="4" cm="1">
        <f t="array" ref="AJ61">IF(AG61="NR**","NR**",INDEX(trust_indicator_data!$A$2:$BE$127,(ROW()-ROW(trust_indicator_data!$A$1:$BE$1)),MATCH(selected_indic_name_unadj,trust_indicator_data!$A$1:$BE$1,0)))</f>
        <v>48.148147583007813</v>
      </c>
      <c r="AK61" s="4">
        <f>IF(AG61="NR**","NR**",RANK(trust_indicator_data!AJ61,AJ:AJ,1)+COUNTIF($AJ$2:AJ61,AJ61)-1)</f>
        <v>53</v>
      </c>
      <c r="AM61" s="4" cm="1">
        <f t="array" ref="AM61">IF(AQ61&lt;10,0,INDEX(trust_indicator_data!$A$2:$BE$127,(ROW()-ROW(trust_indicator_data!$A$1:$BE$1)),MATCH(selected_indic_name_unadj,trust_indicator_data!$A$1:$BE$1,0)))</f>
        <v>48.148147583007813</v>
      </c>
      <c r="AN61" s="4">
        <f t="shared" si="11"/>
        <v>53</v>
      </c>
      <c r="AP61" s="4">
        <f>RANK(trust_indicator_data!$AQ61,AQ:AQ,1)+COUNTIF($AQ$2:AQ61,AQ61)-1</f>
        <v>18</v>
      </c>
      <c r="AQ61" s="4" cm="1">
        <f t="array" ref="AQ61">INDEX(trust_indicator_data!$A$2:$BE$127,(ROW()-ROW(trust_indicator_data!$A$1:$BE$1)),MATCH(selected_indic_denom,trust_indicator_data!$A$1:$BE$1,0))</f>
        <v>126</v>
      </c>
      <c r="AR61" s="4" cm="1">
        <f t="array" ref="AR61">INDEX(trust_indicator_data!$A$2:$BE$127,(ROW()-ROW(trust_indicator_data!$A$1:$BE$1)),MATCH(selected_indic_name_unadj,trust_indicator_data!$A$1:$BE$1,0))/100</f>
        <v>0.48148147583007811</v>
      </c>
      <c r="AS61" s="4">
        <f>IF(AQ61&lt;10,NA(),trust_indicator_data!$AR61)</f>
        <v>0.48148147583007811</v>
      </c>
      <c r="AU61" s="4">
        <f>INDEX(table_national_indic,MATCH($AU$1,national_indicator_data!$A$1:$A$17,0),MATCH(selected_indic_name_unadj,national_indicator_data!$A$1:$R$1,0))</f>
        <v>0.47675243377685544</v>
      </c>
      <c r="AV61" s="4">
        <f>INDEX(table_national_indic,MATCH($AV$1,national_indicator_data!$A$1:$A$7,0),MATCH(selected_indic_name_unadj,national_indicator_data!$A$1:$R$1,0))</f>
        <v>0.76214221292766271</v>
      </c>
      <c r="AW61" s="4">
        <f t="shared" si="22"/>
        <v>0.67305513229018787</v>
      </c>
      <c r="AX61" s="4">
        <f t="shared" si="23"/>
        <v>0.85122929356513755</v>
      </c>
      <c r="AY61" s="4">
        <f t="shared" si="24"/>
        <v>0.62851159197145057</v>
      </c>
      <c r="AZ61" s="4">
        <f t="shared" si="25"/>
        <v>0.89577283388387485</v>
      </c>
      <c r="BA61" s="4">
        <f>INDEX(table_national_indic,MATCH($BA$1,national_indicator_data!$A$1:$A$7,0),MATCH(selected_indic_name_unadj,national_indicator_data!$A$1:$R$1,0))</f>
        <v>0</v>
      </c>
      <c r="BB61" s="4">
        <f t="shared" si="26"/>
        <v>0.38859983678041921</v>
      </c>
      <c r="BC61" s="4">
        <f t="shared" si="12"/>
        <v>0.56564109838501442</v>
      </c>
      <c r="BD61" s="4">
        <f t="shared" si="13"/>
        <v>0.34567512648902277</v>
      </c>
      <c r="BE61" s="4">
        <f t="shared" si="14"/>
        <v>0.60948042084362841</v>
      </c>
      <c r="BG61">
        <f t="shared" si="28"/>
        <v>60</v>
      </c>
      <c r="BH61">
        <f t="shared" si="27"/>
        <v>232</v>
      </c>
      <c r="BI61" s="42">
        <f t="shared" si="16"/>
        <v>0.58851673126220705</v>
      </c>
      <c r="BJ61" s="42">
        <f t="shared" si="17"/>
        <v>0.41155863473162391</v>
      </c>
      <c r="BK61" s="42">
        <f t="shared" si="18"/>
        <v>0.54234647736929364</v>
      </c>
      <c r="BL61" s="42">
        <f t="shared" si="19"/>
        <v>0.37946338206555236</v>
      </c>
      <c r="BM61" s="42">
        <f t="shared" si="20"/>
        <v>0.57494041904895998</v>
      </c>
      <c r="BN61" s="42">
        <f t="shared" si="21"/>
        <v>0.47675243377685544</v>
      </c>
    </row>
    <row r="62" spans="1:66" x14ac:dyDescent="0.25">
      <c r="A62" t="s">
        <v>286</v>
      </c>
      <c r="B62" t="s">
        <v>285</v>
      </c>
      <c r="C62" t="s">
        <v>48</v>
      </c>
      <c r="D62" t="s">
        <v>46</v>
      </c>
      <c r="E62" s="2">
        <v>286</v>
      </c>
      <c r="F62" s="2">
        <v>265</v>
      </c>
      <c r="G62" s="2">
        <v>16</v>
      </c>
      <c r="H62" s="2">
        <v>47</v>
      </c>
      <c r="I62" s="2">
        <v>66</v>
      </c>
      <c r="J62" s="2">
        <v>68</v>
      </c>
      <c r="K62" s="2">
        <v>25</v>
      </c>
      <c r="L62" s="2">
        <v>52.346569061279297</v>
      </c>
      <c r="M62" s="46" t="str">
        <f t="shared" si="6"/>
        <v>NRA*</v>
      </c>
      <c r="N62" s="2">
        <v>52.68817138671875</v>
      </c>
      <c r="O62" s="46" t="str">
        <f t="shared" si="7"/>
        <v>NRA*</v>
      </c>
      <c r="P62" s="2">
        <v>87.234039306640625</v>
      </c>
      <c r="Q62" s="46" t="str">
        <f t="shared" si="8"/>
        <v>NRA*</v>
      </c>
      <c r="R62" s="2">
        <v>9.0566034317016602</v>
      </c>
      <c r="S62" s="2">
        <v>9.739872932434082</v>
      </c>
      <c r="T62" s="2">
        <v>68.75</v>
      </c>
      <c r="U62" s="4">
        <v>68.850700378417969</v>
      </c>
      <c r="V62" s="2">
        <v>75.757575988769531</v>
      </c>
      <c r="W62" s="2">
        <v>79.948982238769531</v>
      </c>
      <c r="X62" s="2">
        <v>64</v>
      </c>
      <c r="Y62" s="2">
        <v>60.255409240722656</v>
      </c>
      <c r="Z62" s="2">
        <v>57.352939605712891</v>
      </c>
      <c r="AA62" s="2">
        <v>58.127574920654297</v>
      </c>
      <c r="AB62" s="2">
        <v>98.571426391601563</v>
      </c>
      <c r="AC62" s="46" t="str">
        <f t="shared" si="9"/>
        <v>NRA*</v>
      </c>
      <c r="AD62" s="2">
        <v>35.087718963623047</v>
      </c>
      <c r="AE62" s="2">
        <v>34.145595550537109</v>
      </c>
      <c r="AF62" s="2"/>
      <c r="AG62" s="34">
        <f t="shared" si="10"/>
        <v>286</v>
      </c>
      <c r="AH62" s="34" t="str" cm="1">
        <f t="array" ref="AH62">IF(AG62="NR**","NR**",INDEX(trust_indicator_data!$A$2:$BE$127,(ROW()-ROW(trust_indicator_data!$A$1:$BE$1)),MATCH(selected_indic_name_adj,trust_indicator_data!$A$1:$BE$1,0)))</f>
        <v>NRA*</v>
      </c>
      <c r="AI62" s="34" t="str">
        <f>IF(AG62="NR**","NR**",IF(AH62="NRA*","NRA*",RANK(AH62,AH:AH,1)+COUNTIF($AH$2:AH62,AH62)-1))</f>
        <v>NRA*</v>
      </c>
      <c r="AJ62" s="34" cm="1">
        <f t="array" ref="AJ62">IF(AG62="NR**","NR**",INDEX(trust_indicator_data!$A$2:$BE$127,(ROW()-ROW(trust_indicator_data!$A$1:$BE$1)),MATCH(selected_indic_name_unadj,trust_indicator_data!$A$1:$BE$1,0)))</f>
        <v>52.346569061279297</v>
      </c>
      <c r="AK62" s="34">
        <f>IF(AG62="NR**","NR**",RANK(trust_indicator_data!AJ62,AJ:AJ,1)+COUNTIF($AJ$2:AJ62,AJ62)-1)</f>
        <v>85</v>
      </c>
      <c r="AM62" s="34" cm="1">
        <f t="array" ref="AM62">IF(AQ62&lt;10,0,INDEX(trust_indicator_data!$A$2:$BE$127,(ROW()-ROW(trust_indicator_data!$A$1:$BE$1)),MATCH(selected_indic_name_unadj,trust_indicator_data!$A$1:$BE$1,0)))</f>
        <v>52.346569061279297</v>
      </c>
      <c r="AN62" s="34">
        <f t="shared" si="11"/>
        <v>85</v>
      </c>
      <c r="AP62" s="34">
        <f>RANK(trust_indicator_data!$AQ62,AQ:AQ,1)+COUNTIF($AQ$2:AQ62,AQ62)-1</f>
        <v>82</v>
      </c>
      <c r="AQ62" s="34" cm="1">
        <f t="array" ref="AQ62">INDEX(trust_indicator_data!$A$2:$BE$127,(ROW()-ROW(trust_indicator_data!$A$1:$BE$1)),MATCH(selected_indic_denom,trust_indicator_data!$A$1:$BE$1,0))</f>
        <v>286</v>
      </c>
      <c r="AR62" s="34" cm="1">
        <f t="array" ref="AR62">INDEX(trust_indicator_data!$A$2:$BE$127,(ROW()-ROW(trust_indicator_data!$A$1:$BE$1)),MATCH(selected_indic_name_unadj,trust_indicator_data!$A$1:$BE$1,0))/100</f>
        <v>0.52346569061279302</v>
      </c>
      <c r="AS62" s="34">
        <f>IF(AQ62&lt;10,NA(),trust_indicator_data!$AR62)</f>
        <v>0.52346569061279302</v>
      </c>
      <c r="AU62" s="34">
        <f>INDEX(table_national_indic,MATCH($AU$1,national_indicator_data!$A$1:$A$17,0),MATCH(selected_indic_name_unadj,national_indicator_data!$A$1:$R$1,0))</f>
        <v>0.47675243377685544</v>
      </c>
      <c r="AV62" s="34">
        <f>INDEX(table_national_indic,MATCH($AV$1,national_indicator_data!$A$1:$A$7,0),MATCH(selected_indic_name_unadj,national_indicator_data!$A$1:$R$1,0))</f>
        <v>0.76214221292766271</v>
      </c>
      <c r="AW62" s="34">
        <f t="shared" si="22"/>
        <v>0.7030109733287544</v>
      </c>
      <c r="AX62" s="34">
        <f t="shared" si="23"/>
        <v>0.82127345252657102</v>
      </c>
      <c r="AY62" s="34">
        <f t="shared" si="24"/>
        <v>0.67344535352930035</v>
      </c>
      <c r="AZ62" s="34">
        <f t="shared" si="25"/>
        <v>0.85083907232602507</v>
      </c>
      <c r="BA62" s="34">
        <f>INDEX(table_national_indic,MATCH($BA$1,national_indicator_data!$A$1:$A$7,0),MATCH(selected_indic_name_unadj,national_indicator_data!$A$1:$R$1,0))</f>
        <v>0</v>
      </c>
      <c r="BB62" s="34">
        <f t="shared" si="26"/>
        <v>0.41798511438100944</v>
      </c>
      <c r="BC62" s="34">
        <f t="shared" si="12"/>
        <v>0.53584451518369702</v>
      </c>
      <c r="BD62" s="34">
        <f t="shared" si="13"/>
        <v>0.38898028334547058</v>
      </c>
      <c r="BE62" s="34">
        <f t="shared" si="14"/>
        <v>0.56525423454439871</v>
      </c>
      <c r="BG62">
        <f t="shared" si="28"/>
        <v>61</v>
      </c>
      <c r="BH62">
        <f t="shared" si="27"/>
        <v>236</v>
      </c>
      <c r="BI62" s="42">
        <f t="shared" si="16"/>
        <v>0.54871795654296873</v>
      </c>
      <c r="BJ62" s="42">
        <f t="shared" si="17"/>
        <v>0.41210864020237925</v>
      </c>
      <c r="BK62" s="42">
        <f t="shared" si="18"/>
        <v>0.54178969767714802</v>
      </c>
      <c r="BL62" s="42">
        <f t="shared" si="19"/>
        <v>0.38027697307717645</v>
      </c>
      <c r="BM62" s="42">
        <f t="shared" si="20"/>
        <v>0.57411164032769235</v>
      </c>
      <c r="BN62" s="42">
        <f t="shared" si="21"/>
        <v>0.47675243377685544</v>
      </c>
    </row>
    <row r="63" spans="1:66" x14ac:dyDescent="0.25">
      <c r="A63" t="s">
        <v>162</v>
      </c>
      <c r="B63" t="s">
        <v>161</v>
      </c>
      <c r="C63" t="s">
        <v>24</v>
      </c>
      <c r="D63" t="s">
        <v>22</v>
      </c>
      <c r="E63" s="2">
        <v>185</v>
      </c>
      <c r="F63" s="2">
        <v>165</v>
      </c>
      <c r="G63" s="2">
        <v>19</v>
      </c>
      <c r="H63" s="2">
        <v>19</v>
      </c>
      <c r="I63" s="2">
        <v>25</v>
      </c>
      <c r="J63" s="2">
        <v>34</v>
      </c>
      <c r="K63" s="2">
        <v>9</v>
      </c>
      <c r="L63" s="2">
        <v>54.605262756347656</v>
      </c>
      <c r="M63" s="46" t="str">
        <f t="shared" si="6"/>
        <v>NRA*</v>
      </c>
      <c r="N63" s="2">
        <v>56.849315643310547</v>
      </c>
      <c r="O63" s="46" t="str">
        <f t="shared" si="7"/>
        <v>NRA*</v>
      </c>
      <c r="P63" s="2">
        <v>57.894737243652344</v>
      </c>
      <c r="Q63" s="46" t="str">
        <f t="shared" si="8"/>
        <v>NRA*</v>
      </c>
      <c r="R63" s="2">
        <v>10.909090995788574</v>
      </c>
      <c r="S63" s="2">
        <v>18.865047454833984</v>
      </c>
      <c r="T63" s="2">
        <v>68.421051025390625</v>
      </c>
      <c r="U63" s="4">
        <v>62.644557952880859</v>
      </c>
      <c r="V63" s="2">
        <v>72</v>
      </c>
      <c r="W63" s="2">
        <v>86.151809692382813</v>
      </c>
      <c r="X63" s="2"/>
      <c r="Y63" s="2"/>
      <c r="Z63" s="2">
        <v>55.882354736328125</v>
      </c>
      <c r="AA63" s="2">
        <v>58.006134033203125</v>
      </c>
      <c r="AB63" s="2">
        <v>84.905662536621094</v>
      </c>
      <c r="AC63" s="46" t="str">
        <f t="shared" si="9"/>
        <v>NRA*</v>
      </c>
      <c r="AD63" s="2">
        <v>37.430168151855469</v>
      </c>
      <c r="AE63" s="2">
        <v>35.135951995849609</v>
      </c>
      <c r="AF63" s="2"/>
      <c r="AG63" s="4">
        <f t="shared" si="10"/>
        <v>185</v>
      </c>
      <c r="AH63" s="4" t="str" cm="1">
        <f t="array" ref="AH63">IF(AG63="NR**","NR**",INDEX(trust_indicator_data!$A$2:$BE$127,(ROW()-ROW(trust_indicator_data!$A$1:$BE$1)),MATCH(selected_indic_name_adj,trust_indicator_data!$A$1:$BE$1,0)))</f>
        <v>NRA*</v>
      </c>
      <c r="AI63" s="4" t="str">
        <f>IF(AG63="NR**","NR**",IF(AH63="NRA*","NRA*",RANK(AH63,AH:AH,1)+COUNTIF($AH$2:AH63,AH63)-1))</f>
        <v>NRA*</v>
      </c>
      <c r="AJ63" s="4" cm="1">
        <f t="array" ref="AJ63">IF(AG63="NR**","NR**",INDEX(trust_indicator_data!$A$2:$BE$127,(ROW()-ROW(trust_indicator_data!$A$1:$BE$1)),MATCH(selected_indic_name_unadj,trust_indicator_data!$A$1:$BE$1,0)))</f>
        <v>54.605262756347656</v>
      </c>
      <c r="AK63" s="4">
        <f>IF(AG63="NR**","NR**",RANK(trust_indicator_data!AJ63,AJ:AJ,1)+COUNTIF($AJ$2:AJ63,AJ63)-1)</f>
        <v>104</v>
      </c>
      <c r="AM63" s="4" cm="1">
        <f t="array" ref="AM63">IF(AQ63&lt;10,0,INDEX(trust_indicator_data!$A$2:$BE$127,(ROW()-ROW(trust_indicator_data!$A$1:$BE$1)),MATCH(selected_indic_name_unadj,trust_indicator_data!$A$1:$BE$1,0)))</f>
        <v>54.605262756347656</v>
      </c>
      <c r="AN63" s="4">
        <f t="shared" si="11"/>
        <v>104</v>
      </c>
      <c r="AP63" s="4">
        <f>RANK(trust_indicator_data!$AQ63,AQ:AQ,1)+COUNTIF($AQ$2:AQ63,AQ63)-1</f>
        <v>37</v>
      </c>
      <c r="AQ63" s="4" cm="1">
        <f t="array" ref="AQ63">INDEX(trust_indicator_data!$A$2:$BE$127,(ROW()-ROW(trust_indicator_data!$A$1:$BE$1)),MATCH(selected_indic_denom,trust_indicator_data!$A$1:$BE$1,0))</f>
        <v>185</v>
      </c>
      <c r="AR63" s="4" cm="1">
        <f t="array" ref="AR63">INDEX(trust_indicator_data!$A$2:$BE$127,(ROW()-ROW(trust_indicator_data!$A$1:$BE$1)),MATCH(selected_indic_name_unadj,trust_indicator_data!$A$1:$BE$1,0))/100</f>
        <v>0.54605262756347661</v>
      </c>
      <c r="AS63" s="4">
        <f>IF(AQ63&lt;10,NA(),trust_indicator_data!$AR63)</f>
        <v>0.54605262756347661</v>
      </c>
      <c r="AU63" s="4">
        <f>INDEX(table_national_indic,MATCH($AU$1,national_indicator_data!$A$1:$A$17,0),MATCH(selected_indic_name_unadj,national_indicator_data!$A$1:$R$1,0))</f>
        <v>0.47675243377685544</v>
      </c>
      <c r="AV63" s="4">
        <f>INDEX(table_national_indic,MATCH($AV$1,national_indicator_data!$A$1:$A$7,0),MATCH(selected_indic_name_unadj,national_indicator_data!$A$1:$R$1,0))</f>
        <v>0.76214221292766271</v>
      </c>
      <c r="AW63" s="4">
        <f t="shared" si="22"/>
        <v>0.68862075071828199</v>
      </c>
      <c r="AX63" s="4">
        <f t="shared" si="23"/>
        <v>0.83566367513704343</v>
      </c>
      <c r="AY63" s="4">
        <f t="shared" si="24"/>
        <v>0.65186001961359152</v>
      </c>
      <c r="AZ63" s="4">
        <f t="shared" si="25"/>
        <v>0.8724244062417339</v>
      </c>
      <c r="BA63" s="4">
        <f>INDEX(table_national_indic,MATCH($BA$1,national_indicator_data!$A$1:$A$7,0),MATCH(selected_indic_name_unadj,national_indicator_data!$A$1:$R$1,0))</f>
        <v>0</v>
      </c>
      <c r="BB63" s="4">
        <f t="shared" si="26"/>
        <v>0.40382572605095712</v>
      </c>
      <c r="BC63" s="4">
        <f t="shared" si="12"/>
        <v>0.5501808865599207</v>
      </c>
      <c r="BD63" s="4">
        <f t="shared" si="13"/>
        <v>0.3680437441351167</v>
      </c>
      <c r="BE63" s="4">
        <f t="shared" si="14"/>
        <v>0.5865875085445309</v>
      </c>
      <c r="BG63">
        <f t="shared" si="28"/>
        <v>62</v>
      </c>
      <c r="BH63">
        <f t="shared" si="27"/>
        <v>236</v>
      </c>
      <c r="BI63" s="42">
        <f t="shared" si="16"/>
        <v>0.49029125213623048</v>
      </c>
      <c r="BJ63" s="42">
        <f t="shared" si="17"/>
        <v>0.41210864020237925</v>
      </c>
      <c r="BK63" s="42">
        <f t="shared" si="18"/>
        <v>0.54178969767714802</v>
      </c>
      <c r="BL63" s="42">
        <f t="shared" si="19"/>
        <v>0.38027697307717645</v>
      </c>
      <c r="BM63" s="42">
        <f t="shared" si="20"/>
        <v>0.57411164032769235</v>
      </c>
      <c r="BN63" s="42">
        <f t="shared" si="21"/>
        <v>0.47675243377685544</v>
      </c>
    </row>
    <row r="64" spans="1:66" x14ac:dyDescent="0.25">
      <c r="A64" t="s">
        <v>236</v>
      </c>
      <c r="B64" t="s">
        <v>235</v>
      </c>
      <c r="C64" t="s">
        <v>21</v>
      </c>
      <c r="D64" t="s">
        <v>19</v>
      </c>
      <c r="E64" s="2">
        <v>215</v>
      </c>
      <c r="F64" s="2">
        <v>181</v>
      </c>
      <c r="G64" s="2">
        <v>31</v>
      </c>
      <c r="H64" s="2">
        <v>27</v>
      </c>
      <c r="I64" s="2">
        <v>44</v>
      </c>
      <c r="J64" s="2">
        <v>39</v>
      </c>
      <c r="K64" s="2">
        <v>10</v>
      </c>
      <c r="L64" s="2">
        <v>52.358489990234375</v>
      </c>
      <c r="M64" s="46" t="str">
        <f t="shared" si="6"/>
        <v>NRA*</v>
      </c>
      <c r="N64" s="2">
        <v>44.334976196289063</v>
      </c>
      <c r="O64" s="46" t="str">
        <f t="shared" si="7"/>
        <v>NRA*</v>
      </c>
      <c r="P64" s="2">
        <v>92.59259033203125</v>
      </c>
      <c r="Q64" s="46" t="str">
        <f t="shared" si="8"/>
        <v>NRA*</v>
      </c>
      <c r="R64" s="2">
        <v>20.994474411010742</v>
      </c>
      <c r="S64" s="2">
        <v>21.997945785522461</v>
      </c>
      <c r="T64" s="2">
        <v>70.967742919921875</v>
      </c>
      <c r="U64" s="4">
        <v>75.139305114746094</v>
      </c>
      <c r="V64" s="2">
        <v>81.818183898925781</v>
      </c>
      <c r="W64" s="2">
        <v>85.087966918945313</v>
      </c>
      <c r="X64" s="2">
        <v>70</v>
      </c>
      <c r="Y64" s="2">
        <v>66.111488342285156</v>
      </c>
      <c r="Z64" s="2">
        <v>61.538459777832031</v>
      </c>
      <c r="AA64" s="2">
        <v>57.217216491699219</v>
      </c>
      <c r="AB64" s="2">
        <v>97.101448059082031</v>
      </c>
      <c r="AC64" s="46" t="str">
        <f t="shared" si="9"/>
        <v>NRA*</v>
      </c>
      <c r="AD64" s="2">
        <v>35.680751800537109</v>
      </c>
      <c r="AE64" s="2">
        <v>34.159908294677734</v>
      </c>
      <c r="AF64" s="2"/>
      <c r="AG64" s="34">
        <f t="shared" si="10"/>
        <v>215</v>
      </c>
      <c r="AH64" s="34" t="str" cm="1">
        <f t="array" ref="AH64">IF(AG64="NR**","NR**",INDEX(trust_indicator_data!$A$2:$BE$127,(ROW()-ROW(trust_indicator_data!$A$1:$BE$1)),MATCH(selected_indic_name_adj,trust_indicator_data!$A$1:$BE$1,0)))</f>
        <v>NRA*</v>
      </c>
      <c r="AI64" s="34" t="str">
        <f>IF(AG64="NR**","NR**",IF(AH64="NRA*","NRA*",RANK(AH64,AH:AH,1)+COUNTIF($AH$2:AH64,AH64)-1))</f>
        <v>NRA*</v>
      </c>
      <c r="AJ64" s="34" cm="1">
        <f t="array" ref="AJ64">IF(AG64="NR**","NR**",INDEX(trust_indicator_data!$A$2:$BE$127,(ROW()-ROW(trust_indicator_data!$A$1:$BE$1)),MATCH(selected_indic_name_unadj,trust_indicator_data!$A$1:$BE$1,0)))</f>
        <v>52.358489990234375</v>
      </c>
      <c r="AK64" s="34">
        <f>IF(AG64="NR**","NR**",RANK(trust_indicator_data!AJ64,AJ:AJ,1)+COUNTIF($AJ$2:AJ64,AJ64)-1)</f>
        <v>86</v>
      </c>
      <c r="AM64" s="34" cm="1">
        <f t="array" ref="AM64">IF(AQ64&lt;10,0,INDEX(trust_indicator_data!$A$2:$BE$127,(ROW()-ROW(trust_indicator_data!$A$1:$BE$1)),MATCH(selected_indic_name_unadj,trust_indicator_data!$A$1:$BE$1,0)))</f>
        <v>52.358489990234375</v>
      </c>
      <c r="AN64" s="34">
        <f t="shared" si="11"/>
        <v>86</v>
      </c>
      <c r="AP64" s="34">
        <f>RANK(trust_indicator_data!$AQ64,AQ:AQ,1)+COUNTIF($AQ$2:AQ64,AQ64)-1</f>
        <v>50</v>
      </c>
      <c r="AQ64" s="34" cm="1">
        <f t="array" ref="AQ64">INDEX(trust_indicator_data!$A$2:$BE$127,(ROW()-ROW(trust_indicator_data!$A$1:$BE$1)),MATCH(selected_indic_denom,trust_indicator_data!$A$1:$BE$1,0))</f>
        <v>215</v>
      </c>
      <c r="AR64" s="34" cm="1">
        <f t="array" ref="AR64">INDEX(trust_indicator_data!$A$2:$BE$127,(ROW()-ROW(trust_indicator_data!$A$1:$BE$1)),MATCH(selected_indic_name_unadj,trust_indicator_data!$A$1:$BE$1,0))/100</f>
        <v>0.5235848999023438</v>
      </c>
      <c r="AS64" s="34">
        <f>IF(AQ64&lt;10,NA(),trust_indicator_data!$AR64)</f>
        <v>0.5235848999023438</v>
      </c>
      <c r="AU64" s="34">
        <f>INDEX(table_national_indic,MATCH($AU$1,national_indicator_data!$A$1:$A$17,0),MATCH(selected_indic_name_unadj,national_indicator_data!$A$1:$R$1,0))</f>
        <v>0.47675243377685544</v>
      </c>
      <c r="AV64" s="34">
        <f>INDEX(table_national_indic,MATCH($AV$1,national_indicator_data!$A$1:$A$7,0),MATCH(selected_indic_name_unadj,national_indicator_data!$A$1:$R$1,0))</f>
        <v>0.76214221292766271</v>
      </c>
      <c r="AW64" s="34">
        <f t="shared" si="22"/>
        <v>0.6939427789806154</v>
      </c>
      <c r="AX64" s="34">
        <f t="shared" si="23"/>
        <v>0.83034164687471002</v>
      </c>
      <c r="AY64" s="34">
        <f t="shared" si="24"/>
        <v>0.65984306200709164</v>
      </c>
      <c r="AZ64" s="34">
        <f t="shared" si="25"/>
        <v>0.86444136384823378</v>
      </c>
      <c r="BA64" s="34">
        <f>INDEX(table_national_indic,MATCH($BA$1,national_indicator_data!$A$1:$A$7,0),MATCH(selected_indic_name_unadj,national_indicator_data!$A$1:$R$1,0))</f>
        <v>0</v>
      </c>
      <c r="BB64" s="34">
        <f t="shared" si="26"/>
        <v>0.409053723740056</v>
      </c>
      <c r="BC64" s="34">
        <f t="shared" si="12"/>
        <v>0.54488298652676115</v>
      </c>
      <c r="BD64" s="34">
        <f t="shared" si="13"/>
        <v>0.37576025208524272</v>
      </c>
      <c r="BE64" s="34">
        <f t="shared" si="14"/>
        <v>0.57871437941364512</v>
      </c>
      <c r="BG64">
        <f t="shared" si="28"/>
        <v>63</v>
      </c>
      <c r="BH64">
        <f t="shared" si="27"/>
        <v>237</v>
      </c>
      <c r="BI64" s="42">
        <f t="shared" si="16"/>
        <v>0.49361701965332033</v>
      </c>
      <c r="BJ64" s="42">
        <f t="shared" si="17"/>
        <v>0.41224397813865526</v>
      </c>
      <c r="BK64" s="42">
        <f t="shared" si="18"/>
        <v>0.54165270186423065</v>
      </c>
      <c r="BL64" s="42">
        <f t="shared" si="19"/>
        <v>0.38047719731968388</v>
      </c>
      <c r="BM64" s="42">
        <f t="shared" si="20"/>
        <v>0.5739076990075781</v>
      </c>
      <c r="BN64" s="42">
        <f t="shared" si="21"/>
        <v>0.47675243377685544</v>
      </c>
    </row>
    <row r="65" spans="1:66" x14ac:dyDescent="0.25">
      <c r="A65" t="s">
        <v>194</v>
      </c>
      <c r="B65" t="s">
        <v>193</v>
      </c>
      <c r="C65" t="s">
        <v>33</v>
      </c>
      <c r="D65" t="s">
        <v>31</v>
      </c>
      <c r="E65" s="2">
        <v>337</v>
      </c>
      <c r="F65" s="2">
        <v>304</v>
      </c>
      <c r="G65" s="2">
        <v>29</v>
      </c>
      <c r="H65" s="2">
        <v>57</v>
      </c>
      <c r="I65" s="2">
        <v>64</v>
      </c>
      <c r="J65" s="2">
        <v>81</v>
      </c>
      <c r="K65" s="2">
        <v>21</v>
      </c>
      <c r="L65" s="2">
        <v>50.925926208496094</v>
      </c>
      <c r="M65" s="46" t="str">
        <f t="shared" si="6"/>
        <v>NRA*</v>
      </c>
      <c r="N65" s="2">
        <v>57.516338348388672</v>
      </c>
      <c r="O65" s="46" t="str">
        <f t="shared" si="7"/>
        <v>NRA*</v>
      </c>
      <c r="P65" s="2">
        <v>59.649124145507813</v>
      </c>
      <c r="Q65" s="46" t="str">
        <f t="shared" si="8"/>
        <v>NRA*</v>
      </c>
      <c r="R65" s="2">
        <v>11.513157844543457</v>
      </c>
      <c r="S65" s="2">
        <v>12.487288475036621</v>
      </c>
      <c r="T65" s="2">
        <v>58.620689392089844</v>
      </c>
      <c r="U65" s="4">
        <v>60.061080932617188</v>
      </c>
      <c r="V65" s="2">
        <v>84.375</v>
      </c>
      <c r="W65" s="2">
        <v>90.713096618652344</v>
      </c>
      <c r="X65" s="2">
        <v>47.619049072265625</v>
      </c>
      <c r="Y65" s="2">
        <v>47.158954620361328</v>
      </c>
      <c r="Z65" s="2">
        <v>49.382717132568359</v>
      </c>
      <c r="AA65" s="2">
        <v>44.884235382080078</v>
      </c>
      <c r="AB65" s="2">
        <v>95.358650207519531</v>
      </c>
      <c r="AC65" s="46" t="str">
        <f t="shared" si="9"/>
        <v>NRA*</v>
      </c>
      <c r="AD65" s="2">
        <v>41.411041259765625</v>
      </c>
      <c r="AE65" s="2">
        <v>42.2655029296875</v>
      </c>
      <c r="AF65" s="2"/>
      <c r="AG65" s="4">
        <f t="shared" si="10"/>
        <v>337</v>
      </c>
      <c r="AH65" s="4" t="str" cm="1">
        <f t="array" ref="AH65">IF(AG65="NR**","NR**",INDEX(trust_indicator_data!$A$2:$BE$127,(ROW()-ROW(trust_indicator_data!$A$1:$BE$1)),MATCH(selected_indic_name_adj,trust_indicator_data!$A$1:$BE$1,0)))</f>
        <v>NRA*</v>
      </c>
      <c r="AI65" s="4" t="str">
        <f>IF(AG65="NR**","NR**",IF(AH65="NRA*","NRA*",RANK(AH65,AH:AH,1)+COUNTIF($AH$2:AH65,AH65)-1))</f>
        <v>NRA*</v>
      </c>
      <c r="AJ65" s="4" cm="1">
        <f t="array" ref="AJ65">IF(AG65="NR**","NR**",INDEX(trust_indicator_data!$A$2:$BE$127,(ROW()-ROW(trust_indicator_data!$A$1:$BE$1)),MATCH(selected_indic_name_unadj,trust_indicator_data!$A$1:$BE$1,0)))</f>
        <v>50.925926208496094</v>
      </c>
      <c r="AK65" s="4">
        <f>IF(AG65="NR**","NR**",RANK(trust_indicator_data!AJ65,AJ:AJ,1)+COUNTIF($AJ$2:AJ65,AJ65)-1)</f>
        <v>75</v>
      </c>
      <c r="AM65" s="4" cm="1">
        <f t="array" ref="AM65">IF(AQ65&lt;10,0,INDEX(trust_indicator_data!$A$2:$BE$127,(ROW()-ROW(trust_indicator_data!$A$1:$BE$1)),MATCH(selected_indic_name_unadj,trust_indicator_data!$A$1:$BE$1,0)))</f>
        <v>50.925926208496094</v>
      </c>
      <c r="AN65" s="4">
        <f t="shared" si="11"/>
        <v>75</v>
      </c>
      <c r="AP65" s="4">
        <f>RANK(trust_indicator_data!$AQ65,AQ:AQ,1)+COUNTIF($AQ$2:AQ65,AQ65)-1</f>
        <v>91</v>
      </c>
      <c r="AQ65" s="4" cm="1">
        <f t="array" ref="AQ65">INDEX(trust_indicator_data!$A$2:$BE$127,(ROW()-ROW(trust_indicator_data!$A$1:$BE$1)),MATCH(selected_indic_denom,trust_indicator_data!$A$1:$BE$1,0))</f>
        <v>337</v>
      </c>
      <c r="AR65" s="4" cm="1">
        <f t="array" ref="AR65">INDEX(trust_indicator_data!$A$2:$BE$127,(ROW()-ROW(trust_indicator_data!$A$1:$BE$1)),MATCH(selected_indic_name_unadj,trust_indicator_data!$A$1:$BE$1,0))/100</f>
        <v>0.50925926208496097</v>
      </c>
      <c r="AS65" s="4">
        <f>IF(AQ65&lt;10,NA(),trust_indicator_data!$AR65)</f>
        <v>0.50925926208496097</v>
      </c>
      <c r="AU65" s="4">
        <f>INDEX(table_national_indic,MATCH($AU$1,national_indicator_data!$A$1:$A$17,0),MATCH(selected_indic_name_unadj,national_indicator_data!$A$1:$R$1,0))</f>
        <v>0.47675243377685544</v>
      </c>
      <c r="AV65" s="4">
        <f>INDEX(table_national_indic,MATCH($AV$1,national_indicator_data!$A$1:$A$7,0),MATCH(selected_indic_name_unadj,national_indicator_data!$A$1:$R$1,0))</f>
        <v>0.76214221292766271</v>
      </c>
      <c r="AW65" s="4">
        <f t="shared" si="22"/>
        <v>0.70766874185737838</v>
      </c>
      <c r="AX65" s="4">
        <f t="shared" si="23"/>
        <v>0.81661568399794704</v>
      </c>
      <c r="AY65" s="4">
        <f t="shared" si="24"/>
        <v>0.68043200632223622</v>
      </c>
      <c r="AZ65" s="4">
        <f t="shared" si="25"/>
        <v>0.8438524195330892</v>
      </c>
      <c r="BA65" s="4">
        <f>INDEX(table_national_indic,MATCH($BA$1,national_indicator_data!$A$1:$A$7,0),MATCH(selected_indic_name_unadj,national_indicator_data!$A$1:$R$1,0))</f>
        <v>0</v>
      </c>
      <c r="BB65" s="4">
        <f t="shared" si="26"/>
        <v>0.42258328736106449</v>
      </c>
      <c r="BC65" s="4">
        <f t="shared" si="12"/>
        <v>0.53119724287150261</v>
      </c>
      <c r="BD65" s="4">
        <f t="shared" si="13"/>
        <v>0.39580314974237035</v>
      </c>
      <c r="BE65" s="4">
        <f t="shared" si="14"/>
        <v>0.55832119220055343</v>
      </c>
      <c r="BG65">
        <f t="shared" si="28"/>
        <v>64</v>
      </c>
      <c r="BH65">
        <f t="shared" si="27"/>
        <v>238</v>
      </c>
      <c r="BI65" s="42">
        <f t="shared" si="16"/>
        <v>0.41747573852539061</v>
      </c>
      <c r="BJ65" s="42">
        <f t="shared" si="17"/>
        <v>0.41237846877777601</v>
      </c>
      <c r="BK65" s="42">
        <f t="shared" si="18"/>
        <v>0.54151656726067077</v>
      </c>
      <c r="BL65" s="42">
        <f t="shared" si="19"/>
        <v>0.38067617845372803</v>
      </c>
      <c r="BM65" s="42">
        <f t="shared" si="20"/>
        <v>0.57370503193318889</v>
      </c>
      <c r="BN65" s="42">
        <f t="shared" si="21"/>
        <v>0.47675243377685544</v>
      </c>
    </row>
    <row r="66" spans="1:66" x14ac:dyDescent="0.25">
      <c r="A66" t="s">
        <v>266</v>
      </c>
      <c r="B66" t="s">
        <v>265</v>
      </c>
      <c r="C66" t="s">
        <v>48</v>
      </c>
      <c r="D66" t="s">
        <v>46</v>
      </c>
      <c r="E66" s="2">
        <v>346</v>
      </c>
      <c r="F66" s="2">
        <v>320</v>
      </c>
      <c r="G66" s="2">
        <v>19</v>
      </c>
      <c r="H66" s="2">
        <v>28</v>
      </c>
      <c r="I66" s="2">
        <v>35</v>
      </c>
      <c r="J66" s="2">
        <v>58</v>
      </c>
      <c r="K66" s="2">
        <v>13</v>
      </c>
      <c r="L66" s="2">
        <v>51.660514831542969</v>
      </c>
      <c r="M66" s="46" t="str">
        <f t="shared" si="6"/>
        <v>NRA*</v>
      </c>
      <c r="N66" s="2">
        <v>56.435642242431641</v>
      </c>
      <c r="O66" s="46" t="str">
        <f t="shared" si="7"/>
        <v>NRA*</v>
      </c>
      <c r="P66" s="2">
        <v>92.857139587402344</v>
      </c>
      <c r="Q66" s="46" t="str">
        <f t="shared" si="8"/>
        <v>NRA*</v>
      </c>
      <c r="R66" s="2">
        <v>9.0625</v>
      </c>
      <c r="S66" s="2">
        <v>12.127695083618164</v>
      </c>
      <c r="T66" s="2">
        <v>68.421051025390625</v>
      </c>
      <c r="U66" s="4">
        <v>67.106216430664063</v>
      </c>
      <c r="V66" s="2">
        <v>85.714286804199219</v>
      </c>
      <c r="W66" s="2">
        <v>82.370040893554688</v>
      </c>
      <c r="X66" s="2">
        <v>61.538459777832031</v>
      </c>
      <c r="Y66" s="2">
        <v>67.550247192382813</v>
      </c>
      <c r="Z66" s="2">
        <v>62.068965911865234</v>
      </c>
      <c r="AA66" s="2">
        <v>60.503482818603516</v>
      </c>
      <c r="AB66" s="2">
        <v>95.192306518554688</v>
      </c>
      <c r="AC66" s="46" t="str">
        <f t="shared" si="9"/>
        <v>NRA*</v>
      </c>
      <c r="AD66" s="2">
        <v>36.070381164550781</v>
      </c>
      <c r="AE66" s="2">
        <v>34.151031494140625</v>
      </c>
      <c r="AF66" s="2"/>
      <c r="AG66" s="34">
        <f t="shared" si="10"/>
        <v>346</v>
      </c>
      <c r="AH66" s="34" t="str" cm="1">
        <f t="array" ref="AH66">IF(AG66="NR**","NR**",INDEX(trust_indicator_data!$A$2:$BE$127,(ROW()-ROW(trust_indicator_data!$A$1:$BE$1)),MATCH(selected_indic_name_adj,trust_indicator_data!$A$1:$BE$1,0)))</f>
        <v>NRA*</v>
      </c>
      <c r="AI66" s="34" t="str">
        <f>IF(AG66="NR**","NR**",IF(AH66="NRA*","NRA*",RANK(AH66,AH:AH,1)+COUNTIF($AH$2:AH66,AH66)-1))</f>
        <v>NRA*</v>
      </c>
      <c r="AJ66" s="34" cm="1">
        <f t="array" ref="AJ66">IF(AG66="NR**","NR**",INDEX(trust_indicator_data!$A$2:$BE$127,(ROW()-ROW(trust_indicator_data!$A$1:$BE$1)),MATCH(selected_indic_name_unadj,trust_indicator_data!$A$1:$BE$1,0)))</f>
        <v>51.660514831542969</v>
      </c>
      <c r="AK66" s="34">
        <f>IF(AG66="NR**","NR**",RANK(trust_indicator_data!AJ66,AJ:AJ,1)+COUNTIF($AJ$2:AJ66,AJ66)-1)</f>
        <v>79</v>
      </c>
      <c r="AM66" s="34" cm="1">
        <f t="array" ref="AM66">IF(AQ66&lt;10,0,INDEX(trust_indicator_data!$A$2:$BE$127,(ROW()-ROW(trust_indicator_data!$A$1:$BE$1)),MATCH(selected_indic_name_unadj,trust_indicator_data!$A$1:$BE$1,0)))</f>
        <v>51.660514831542969</v>
      </c>
      <c r="AN66" s="34">
        <f t="shared" si="11"/>
        <v>79</v>
      </c>
      <c r="AP66" s="34">
        <f>RANK(trust_indicator_data!$AQ66,AQ:AQ,1)+COUNTIF($AQ$2:AQ66,AQ66)-1</f>
        <v>94</v>
      </c>
      <c r="AQ66" s="34" cm="1">
        <f t="array" ref="AQ66">INDEX(trust_indicator_data!$A$2:$BE$127,(ROW()-ROW(trust_indicator_data!$A$1:$BE$1)),MATCH(selected_indic_denom,trust_indicator_data!$A$1:$BE$1,0))</f>
        <v>346</v>
      </c>
      <c r="AR66" s="34" cm="1">
        <f t="array" ref="AR66">INDEX(trust_indicator_data!$A$2:$BE$127,(ROW()-ROW(trust_indicator_data!$A$1:$BE$1)),MATCH(selected_indic_name_unadj,trust_indicator_data!$A$1:$BE$1,0))/100</f>
        <v>0.5166051483154297</v>
      </c>
      <c r="AS66" s="34">
        <f>IF(AQ66&lt;10,NA(),trust_indicator_data!$AR66)</f>
        <v>0.5166051483154297</v>
      </c>
      <c r="AU66" s="34">
        <f>INDEX(table_national_indic,MATCH($AU$1,national_indicator_data!$A$1:$A$17,0),MATCH(selected_indic_name_unadj,national_indicator_data!$A$1:$R$1,0))</f>
        <v>0.47675243377685544</v>
      </c>
      <c r="AV66" s="34">
        <f>INDEX(table_national_indic,MATCH($AV$1,national_indicator_data!$A$1:$A$7,0),MATCH(selected_indic_name_unadj,national_indicator_data!$A$1:$R$1,0))</f>
        <v>0.76214221292766271</v>
      </c>
      <c r="AW66" s="34">
        <f t="shared" ref="AW66:AW97" si="29">MAX(0,$AV66-2*1/SQRT(4*$AQ66))</f>
        <v>0.70838187987061563</v>
      </c>
      <c r="AX66" s="34">
        <f t="shared" ref="AX66:AX97" si="30">MAX(0,$AV66+2*1/SQRT(4*$AQ66))</f>
        <v>0.81590254598470979</v>
      </c>
      <c r="AY66" s="34">
        <f t="shared" ref="AY66:AY97" si="31">MAX(0,$AV66-3*1/SQRT(4*$AQ66))</f>
        <v>0.6815017133420922</v>
      </c>
      <c r="AZ66" s="34">
        <f t="shared" ref="AZ66:AZ97" si="32">MAX(0,$AV66+3*1/SQRT(4*$AQ66))</f>
        <v>0.84278271251323322</v>
      </c>
      <c r="BA66" s="34">
        <f>INDEX(table_national_indic,MATCH($BA$1,national_indicator_data!$A$1:$A$7,0),MATCH(selected_indic_name_unadj,national_indicator_data!$A$1:$R$1,0))</f>
        <v>0</v>
      </c>
      <c r="BB66" s="34">
        <f t="shared" ref="BB66:BB97" si="33">IF($AQ66&lt;2,1,IF(BA66=-1,1-SIN(AW66)^2,SIN(AW66)^2))</f>
        <v>0.42328790385509762</v>
      </c>
      <c r="BC66" s="34">
        <f t="shared" si="12"/>
        <v>0.53048546287032106</v>
      </c>
      <c r="BD66" s="34">
        <f t="shared" si="13"/>
        <v>0.39684960902953476</v>
      </c>
      <c r="BE66" s="34">
        <f t="shared" si="14"/>
        <v>0.55725865436217936</v>
      </c>
      <c r="BG66">
        <f t="shared" si="28"/>
        <v>65</v>
      </c>
      <c r="BH66">
        <f t="shared" ref="BH66:BH97" si="34">IF(ISNA(VLOOKUP($BG66,$AP$2:$AS$127,2,FALSE)),$BH$1,VLOOKUP($BG66,$AP$2:$AS$127,2,FALSE))</f>
        <v>238</v>
      </c>
      <c r="BI66" s="42">
        <f t="shared" si="16"/>
        <v>0.50869564056396488</v>
      </c>
      <c r="BJ66" s="42">
        <f t="shared" si="17"/>
        <v>0.41237846877777601</v>
      </c>
      <c r="BK66" s="42">
        <f t="shared" si="18"/>
        <v>0.54151656726067077</v>
      </c>
      <c r="BL66" s="42">
        <f t="shared" si="19"/>
        <v>0.38067617845372803</v>
      </c>
      <c r="BM66" s="42">
        <f t="shared" si="20"/>
        <v>0.57370503193318889</v>
      </c>
      <c r="BN66" s="42">
        <f t="shared" si="21"/>
        <v>0.47675243377685544</v>
      </c>
    </row>
    <row r="67" spans="1:66" x14ac:dyDescent="0.25">
      <c r="A67" t="s">
        <v>310</v>
      </c>
      <c r="B67" t="s">
        <v>309</v>
      </c>
      <c r="C67" t="s">
        <v>21</v>
      </c>
      <c r="D67" t="s">
        <v>19</v>
      </c>
      <c r="E67" s="2">
        <v>552</v>
      </c>
      <c r="F67" s="2">
        <v>487</v>
      </c>
      <c r="G67" s="2">
        <v>47</v>
      </c>
      <c r="H67" s="2">
        <v>137</v>
      </c>
      <c r="I67" s="2">
        <v>137</v>
      </c>
      <c r="J67" s="2">
        <v>111</v>
      </c>
      <c r="K67" s="2">
        <v>57</v>
      </c>
      <c r="L67" s="2">
        <v>39.307537078857422</v>
      </c>
      <c r="M67" s="46" t="str">
        <f t="shared" ref="M67:M127" si="35">"NRA*"</f>
        <v>NRA*</v>
      </c>
      <c r="N67" s="2">
        <v>66.144813537597656</v>
      </c>
      <c r="O67" s="46" t="str">
        <f t="shared" ref="O67:O127" si="36">"NRA*"</f>
        <v>NRA*</v>
      </c>
      <c r="P67" s="2">
        <v>91.970802307128906</v>
      </c>
      <c r="Q67" s="46" t="str">
        <f t="shared" ref="Q67:Q127" si="37">"NRA*"</f>
        <v>NRA*</v>
      </c>
      <c r="R67" s="2">
        <v>30.595481872558594</v>
      </c>
      <c r="S67" s="2">
        <v>21.995641708374023</v>
      </c>
      <c r="T67" s="2">
        <v>74.468086242675781</v>
      </c>
      <c r="U67" s="4">
        <v>68.645957946777344</v>
      </c>
      <c r="V67" s="2">
        <v>87.591239929199219</v>
      </c>
      <c r="W67" s="2">
        <v>81.610206604003906</v>
      </c>
      <c r="X67" s="2">
        <v>71.929824829101563</v>
      </c>
      <c r="Y67" s="2">
        <v>70.42681884765625</v>
      </c>
      <c r="Z67" s="2">
        <v>44.144145965576172</v>
      </c>
      <c r="AA67" s="2">
        <v>47.772907257080078</v>
      </c>
      <c r="AB67" s="2">
        <v>79.901962280273438</v>
      </c>
      <c r="AC67" s="46" t="str">
        <f t="shared" ref="AC67:AC127" si="38">"NRA*"</f>
        <v>NRA*</v>
      </c>
      <c r="AD67" s="2">
        <v>27.272727966308594</v>
      </c>
      <c r="AE67" s="2">
        <v>30.274209976196289</v>
      </c>
      <c r="AF67" s="2"/>
      <c r="AG67" s="4">
        <f t="shared" ref="AG67:AG127" si="39">IF(AQ67&lt;10,"NR**",AQ67)</f>
        <v>552</v>
      </c>
      <c r="AH67" s="4" t="str" cm="1">
        <f t="array" ref="AH67">IF(AG67="NR**","NR**",INDEX(trust_indicator_data!$A$2:$BE$127,(ROW()-ROW(trust_indicator_data!$A$1:$BE$1)),MATCH(selected_indic_name_adj,trust_indicator_data!$A$1:$BE$1,0)))</f>
        <v>NRA*</v>
      </c>
      <c r="AI67" s="4" t="str">
        <f>IF(AG67="NR**","NR**",IF(AH67="NRA*","NRA*",RANK(AH67,AH:AH,1)+COUNTIF($AH$2:AH67,AH67)-1))</f>
        <v>NRA*</v>
      </c>
      <c r="AJ67" s="4" cm="1">
        <f t="array" ref="AJ67">IF(AG67="NR**","NR**",INDEX(trust_indicator_data!$A$2:$BE$127,(ROW()-ROW(trust_indicator_data!$A$1:$BE$1)),MATCH(selected_indic_name_unadj,trust_indicator_data!$A$1:$BE$1,0)))</f>
        <v>39.307537078857422</v>
      </c>
      <c r="AK67" s="4">
        <f>IF(AG67="NR**","NR**",RANK(trust_indicator_data!AJ67,AJ:AJ,1)+COUNTIF($AJ$2:AJ67,AJ67)-1)</f>
        <v>14</v>
      </c>
      <c r="AM67" s="4" cm="1">
        <f t="array" ref="AM67">IF(AQ67&lt;10,0,INDEX(trust_indicator_data!$A$2:$BE$127,(ROW()-ROW(trust_indicator_data!$A$1:$BE$1)),MATCH(selected_indic_name_unadj,trust_indicator_data!$A$1:$BE$1,0)))</f>
        <v>39.307537078857422</v>
      </c>
      <c r="AN67" s="4">
        <f t="shared" ref="AN67:AN127" si="40">IF(AK67="NR**",0,AK67)</f>
        <v>14</v>
      </c>
      <c r="AP67" s="4">
        <f>RANK(trust_indicator_data!$AQ67,AQ:AQ,1)+COUNTIF($AQ$2:AQ67,AQ67)-1</f>
        <v>119</v>
      </c>
      <c r="AQ67" s="4" cm="1">
        <f t="array" ref="AQ67">INDEX(trust_indicator_data!$A$2:$BE$127,(ROW()-ROW(trust_indicator_data!$A$1:$BE$1)),MATCH(selected_indic_denom,trust_indicator_data!$A$1:$BE$1,0))</f>
        <v>552</v>
      </c>
      <c r="AR67" s="4" cm="1">
        <f t="array" ref="AR67">INDEX(trust_indicator_data!$A$2:$BE$127,(ROW()-ROW(trust_indicator_data!$A$1:$BE$1)),MATCH(selected_indic_name_unadj,trust_indicator_data!$A$1:$BE$1,0))/100</f>
        <v>0.39307537078857424</v>
      </c>
      <c r="AS67" s="4">
        <f>IF(AQ67&lt;10,NA(),trust_indicator_data!$AR67)</f>
        <v>0.39307537078857424</v>
      </c>
      <c r="AU67" s="4">
        <f>INDEX(table_national_indic,MATCH($AU$1,national_indicator_data!$A$1:$A$17,0),MATCH(selected_indic_name_unadj,national_indicator_data!$A$1:$R$1,0))</f>
        <v>0.47675243377685544</v>
      </c>
      <c r="AV67" s="4">
        <f>INDEX(table_national_indic,MATCH($AV$1,national_indicator_data!$A$1:$A$7,0),MATCH(selected_indic_name_unadj,national_indicator_data!$A$1:$R$1,0))</f>
        <v>0.76214221292766271</v>
      </c>
      <c r="AW67" s="4">
        <f t="shared" si="29"/>
        <v>0.7195793863897253</v>
      </c>
      <c r="AX67" s="4">
        <f t="shared" si="30"/>
        <v>0.80470503946560012</v>
      </c>
      <c r="AY67" s="4">
        <f t="shared" si="31"/>
        <v>0.69829797312075659</v>
      </c>
      <c r="AZ67" s="4">
        <f t="shared" si="32"/>
        <v>0.82598645273456883</v>
      </c>
      <c r="BA67" s="4">
        <f>INDEX(table_national_indic,MATCH($BA$1,national_indicator_data!$A$1:$A$7,0),MATCH(selected_indic_name_unadj,national_indicator_data!$A$1:$R$1,0))</f>
        <v>0</v>
      </c>
      <c r="BB67" s="4">
        <f t="shared" si="33"/>
        <v>0.43437114787885706</v>
      </c>
      <c r="BC67" s="4">
        <f t="shared" ref="BC67:BC127" si="41">IF($AQ67&lt;1,0,IF(BA67=-1,1-SIN(AX67)^2,SIN(AX67)^2))</f>
        <v>0.51930207859679733</v>
      </c>
      <c r="BD67" s="4">
        <f t="shared" ref="BD67:BD127" si="42">IF($AQ67&lt;2,1,IF(BA67=-1,1-SIN(AY67)^2,SIN(AY67)^2))</f>
        <v>0.41333966223710472</v>
      </c>
      <c r="BE67" s="4">
        <f t="shared" ref="BE67:BE127" si="43">IF($AQ67&lt;2,0,IF(BA67=-1,1-SIN(AZ67)^2,SIN(AZ67)^2))</f>
        <v>0.54054372700710873</v>
      </c>
      <c r="BG67">
        <f t="shared" ref="BG67:BG98" si="44">BG66+1</f>
        <v>66</v>
      </c>
      <c r="BH67">
        <f t="shared" si="34"/>
        <v>242</v>
      </c>
      <c r="BI67" s="42">
        <f t="shared" ref="BI67:BI127" si="45">IF(ISNA(VLOOKUP($BG67,$AP$2:$AS$127,4,FALSE)),NA(),VLOOKUP($BG67,$AP$2:$AS$127,4,FALSE))</f>
        <v>0.54424777984619144</v>
      </c>
      <c r="BJ67" s="42">
        <f t="shared" ref="BJ67:BJ127" si="46">IF(ISNA(VLOOKUP($BG67,$AP$2:$BE$127,13,FALSE)),$BH$1,VLOOKUP($BG67,$AP$2:$BE$127,13,FALSE))</f>
        <v>0.41290813261034948</v>
      </c>
      <c r="BK67" s="42">
        <f t="shared" ref="BK67:BK127" si="47">IF(ISNA(VLOOKUP($BG67,$AP$2:$BE$127,14,FALSE)),$BH$1,VLOOKUP($BG67,$AP$2:$BE$127,14,FALSE))</f>
        <v>0.54098046324781623</v>
      </c>
      <c r="BL67" s="42">
        <f t="shared" ref="BL67:BL127" si="48">IF(ISNA(VLOOKUP($BG67,$AP$2:$BE$127,15,FALSE)),$BH$1,VLOOKUP($BG67,$AP$2:$BE$127,15,FALSE))</f>
        <v>0.38145992547398777</v>
      </c>
      <c r="BM67" s="42">
        <f t="shared" ref="BM67:BM127" si="49">IF(ISNA(VLOOKUP($BG67,$AP$2:$BE$127,16,FALSE)),$BH$1,VLOOKUP($BG67,$AP$2:$BE$127,16,FALSE))</f>
        <v>0.57290684482822241</v>
      </c>
      <c r="BN67" s="42">
        <f t="shared" ref="BN67:BN127" si="50">AU67</f>
        <v>0.47675243377685544</v>
      </c>
    </row>
    <row r="68" spans="1:66" x14ac:dyDescent="0.25">
      <c r="A68" t="s">
        <v>270</v>
      </c>
      <c r="B68" t="s">
        <v>269</v>
      </c>
      <c r="C68" t="s">
        <v>66</v>
      </c>
      <c r="D68" t="s">
        <v>64</v>
      </c>
      <c r="E68" s="2">
        <v>399</v>
      </c>
      <c r="F68" s="2">
        <v>356</v>
      </c>
      <c r="G68" s="2">
        <v>32</v>
      </c>
      <c r="H68" s="2">
        <v>93</v>
      </c>
      <c r="I68" s="2">
        <v>101</v>
      </c>
      <c r="J68" s="2">
        <v>72</v>
      </c>
      <c r="K68" s="2">
        <v>27</v>
      </c>
      <c r="L68" s="2">
        <v>40.055248260498047</v>
      </c>
      <c r="M68" s="46" t="str">
        <f t="shared" si="35"/>
        <v>NRA*</v>
      </c>
      <c r="N68" s="2">
        <v>59.668506622314453</v>
      </c>
      <c r="O68" s="46" t="str">
        <f t="shared" si="36"/>
        <v>NRA*</v>
      </c>
      <c r="P68" s="2">
        <v>97.849464416503906</v>
      </c>
      <c r="Q68" s="46" t="str">
        <f t="shared" si="37"/>
        <v>NRA*</v>
      </c>
      <c r="R68" s="2">
        <v>21.910112380981445</v>
      </c>
      <c r="S68" s="2">
        <v>15.706094741821289</v>
      </c>
      <c r="T68" s="2">
        <v>65.625</v>
      </c>
      <c r="U68" s="4">
        <v>63.692832946777344</v>
      </c>
      <c r="V68" s="2">
        <v>83.168319702148438</v>
      </c>
      <c r="W68" s="2">
        <v>76.228500366210938</v>
      </c>
      <c r="X68" s="2">
        <v>66.666664123535156</v>
      </c>
      <c r="Y68" s="2">
        <v>63.249874114990234</v>
      </c>
      <c r="Z68" s="2">
        <v>61.111110687255859</v>
      </c>
      <c r="AA68" s="2">
        <v>57.949348449707031</v>
      </c>
      <c r="AB68" s="2">
        <v>99.663299560546875</v>
      </c>
      <c r="AC68" s="46" t="str">
        <f t="shared" si="38"/>
        <v>NRA*</v>
      </c>
      <c r="AD68" s="2">
        <v>23.737373352050781</v>
      </c>
      <c r="AE68" s="2">
        <v>29.661691665649414</v>
      </c>
      <c r="AF68" s="2"/>
      <c r="AG68" s="34">
        <f t="shared" si="39"/>
        <v>399</v>
      </c>
      <c r="AH68" s="34" t="str" cm="1">
        <f t="array" ref="AH68">IF(AG68="NR**","NR**",INDEX(trust_indicator_data!$A$2:$BE$127,(ROW()-ROW(trust_indicator_data!$A$1:$BE$1)),MATCH(selected_indic_name_adj,trust_indicator_data!$A$1:$BE$1,0)))</f>
        <v>NRA*</v>
      </c>
      <c r="AI68" s="34" t="str">
        <f>IF(AG68="NR**","NR**",IF(AH68="NRA*","NRA*",RANK(AH68,AH:AH,1)+COUNTIF($AH$2:AH68,AH68)-1))</f>
        <v>NRA*</v>
      </c>
      <c r="AJ68" s="34" cm="1">
        <f t="array" ref="AJ68">IF(AG68="NR**","NR**",INDEX(trust_indicator_data!$A$2:$BE$127,(ROW()-ROW(trust_indicator_data!$A$1:$BE$1)),MATCH(selected_indic_name_unadj,trust_indicator_data!$A$1:$BE$1,0)))</f>
        <v>40.055248260498047</v>
      </c>
      <c r="AK68" s="34">
        <f>IF(AG68="NR**","NR**",RANK(trust_indicator_data!AJ68,AJ:AJ,1)+COUNTIF($AJ$2:AJ68,AJ68)-1)</f>
        <v>19</v>
      </c>
      <c r="AM68" s="34" cm="1">
        <f t="array" ref="AM68">IF(AQ68&lt;10,0,INDEX(trust_indicator_data!$A$2:$BE$127,(ROW()-ROW(trust_indicator_data!$A$1:$BE$1)),MATCH(selected_indic_name_unadj,trust_indicator_data!$A$1:$BE$1,0)))</f>
        <v>40.055248260498047</v>
      </c>
      <c r="AN68" s="34">
        <f t="shared" si="40"/>
        <v>19</v>
      </c>
      <c r="AP68" s="34">
        <f>RANK(trust_indicator_data!$AQ68,AQ:AQ,1)+COUNTIF($AQ$2:AQ68,AQ68)-1</f>
        <v>106</v>
      </c>
      <c r="AQ68" s="34" cm="1">
        <f t="array" ref="AQ68">INDEX(trust_indicator_data!$A$2:$BE$127,(ROW()-ROW(trust_indicator_data!$A$1:$BE$1)),MATCH(selected_indic_denom,trust_indicator_data!$A$1:$BE$1,0))</f>
        <v>399</v>
      </c>
      <c r="AR68" s="34" cm="1">
        <f t="array" ref="AR68">INDEX(trust_indicator_data!$A$2:$BE$127,(ROW()-ROW(trust_indicator_data!$A$1:$BE$1)),MATCH(selected_indic_name_unadj,trust_indicator_data!$A$1:$BE$1,0))/100</f>
        <v>0.40055248260498044</v>
      </c>
      <c r="AS68" s="34">
        <f>IF(AQ68&lt;10,NA(),trust_indicator_data!$AR68)</f>
        <v>0.40055248260498044</v>
      </c>
      <c r="AU68" s="34">
        <f>INDEX(table_national_indic,MATCH($AU$1,national_indicator_data!$A$1:$A$17,0),MATCH(selected_indic_name_unadj,national_indicator_data!$A$1:$R$1,0))</f>
        <v>0.47675243377685544</v>
      </c>
      <c r="AV68" s="34">
        <f>INDEX(table_national_indic,MATCH($AV$1,national_indicator_data!$A$1:$A$7,0),MATCH(selected_indic_name_unadj,national_indicator_data!$A$1:$R$1,0))</f>
        <v>0.76214221292766271</v>
      </c>
      <c r="AW68" s="34">
        <f t="shared" si="29"/>
        <v>0.71207959549548683</v>
      </c>
      <c r="AX68" s="34">
        <f t="shared" si="30"/>
        <v>0.81220483035983859</v>
      </c>
      <c r="AY68" s="34">
        <f t="shared" si="31"/>
        <v>0.68704828677939889</v>
      </c>
      <c r="AZ68" s="34">
        <f t="shared" si="32"/>
        <v>0.83723613907592653</v>
      </c>
      <c r="BA68" s="34">
        <f>INDEX(table_national_indic,MATCH($BA$1,national_indicator_data!$A$1:$A$7,0),MATCH(selected_indic_name_unadj,national_indicator_data!$A$1:$R$1,0))</f>
        <v>0</v>
      </c>
      <c r="BB68" s="34">
        <f t="shared" si="33"/>
        <v>0.42694390455083081</v>
      </c>
      <c r="BC68" s="34">
        <f t="shared" si="41"/>
        <v>0.52679382667392138</v>
      </c>
      <c r="BD68" s="34">
        <f t="shared" si="42"/>
        <v>0.40228310340037765</v>
      </c>
      <c r="BE68" s="34">
        <f t="shared" si="43"/>
        <v>0.55174516040821575</v>
      </c>
      <c r="BG68">
        <f t="shared" si="44"/>
        <v>67</v>
      </c>
      <c r="BH68">
        <f t="shared" si="34"/>
        <v>245</v>
      </c>
      <c r="BI68" s="42">
        <f t="shared" si="45"/>
        <v>0.50643775939941404</v>
      </c>
      <c r="BJ68" s="42">
        <f t="shared" si="46"/>
        <v>0.41329690296314031</v>
      </c>
      <c r="BK68" s="42">
        <f t="shared" si="47"/>
        <v>0.54058700057570641</v>
      </c>
      <c r="BL68" s="42">
        <f t="shared" si="48"/>
        <v>0.38203529307248285</v>
      </c>
      <c r="BM68" s="42">
        <f t="shared" si="49"/>
        <v>0.57232095564694696</v>
      </c>
      <c r="BN68" s="42">
        <f t="shared" si="50"/>
        <v>0.47675243377685544</v>
      </c>
    </row>
    <row r="69" spans="1:66" x14ac:dyDescent="0.25">
      <c r="A69" t="s">
        <v>160</v>
      </c>
      <c r="B69" t="s">
        <v>159</v>
      </c>
      <c r="C69" t="s">
        <v>24</v>
      </c>
      <c r="D69" t="s">
        <v>22</v>
      </c>
      <c r="E69" s="2">
        <v>268</v>
      </c>
      <c r="F69" s="2">
        <v>254</v>
      </c>
      <c r="G69" s="2">
        <v>9</v>
      </c>
      <c r="H69" s="2">
        <v>61</v>
      </c>
      <c r="I69" s="2">
        <v>70</v>
      </c>
      <c r="J69" s="2">
        <v>57</v>
      </c>
      <c r="K69" s="2">
        <v>28</v>
      </c>
      <c r="L69" s="2">
        <v>29.949237823486328</v>
      </c>
      <c r="M69" s="46" t="str">
        <f t="shared" si="35"/>
        <v>NRA*</v>
      </c>
      <c r="N69" s="2">
        <v>78.095237731933594</v>
      </c>
      <c r="O69" s="46" t="str">
        <f t="shared" si="36"/>
        <v>NRA*</v>
      </c>
      <c r="P69" s="2">
        <v>83.606559753417969</v>
      </c>
      <c r="Q69" s="46" t="str">
        <f t="shared" si="37"/>
        <v>NRA*</v>
      </c>
      <c r="R69" s="2">
        <v>48.425197601318359</v>
      </c>
      <c r="S69" s="2">
        <v>35.350265502929688</v>
      </c>
      <c r="T69" s="2"/>
      <c r="V69" s="2">
        <v>88.571426391601563</v>
      </c>
      <c r="W69" s="2">
        <v>86.843864440917969</v>
      </c>
      <c r="X69" s="2">
        <v>78.571426391601563</v>
      </c>
      <c r="Y69" s="2">
        <v>90.360885620117188</v>
      </c>
      <c r="Z69" s="2">
        <v>64.912277221679688</v>
      </c>
      <c r="AA69" s="2">
        <v>75.216361999511719</v>
      </c>
      <c r="AB69" s="2">
        <v>75.333335876464844</v>
      </c>
      <c r="AC69" s="46" t="str">
        <f t="shared" si="38"/>
        <v>NRA*</v>
      </c>
      <c r="AD69" s="2">
        <v>8.2089548110961914</v>
      </c>
      <c r="AE69" s="2">
        <v>10.689761161804199</v>
      </c>
      <c r="AF69" s="2"/>
      <c r="AG69" s="4">
        <f t="shared" si="39"/>
        <v>268</v>
      </c>
      <c r="AH69" s="4" t="str" cm="1">
        <f t="array" ref="AH69">IF(AG69="NR**","NR**",INDEX(trust_indicator_data!$A$2:$BE$127,(ROW()-ROW(trust_indicator_data!$A$1:$BE$1)),MATCH(selected_indic_name_adj,trust_indicator_data!$A$1:$BE$1,0)))</f>
        <v>NRA*</v>
      </c>
      <c r="AI69" s="4" t="str">
        <f>IF(AG69="NR**","NR**",IF(AH69="NRA*","NRA*",RANK(AH69,AH:AH,1)+COUNTIF($AH$2:AH69,AH69)-1))</f>
        <v>NRA*</v>
      </c>
      <c r="AJ69" s="4" cm="1">
        <f t="array" ref="AJ69">IF(AG69="NR**","NR**",INDEX(trust_indicator_data!$A$2:$BE$127,(ROW()-ROW(trust_indicator_data!$A$1:$BE$1)),MATCH(selected_indic_name_unadj,trust_indicator_data!$A$1:$BE$1,0)))</f>
        <v>29.949237823486328</v>
      </c>
      <c r="AK69" s="4">
        <f>IF(AG69="NR**","NR**",RANK(trust_indicator_data!AJ69,AJ:AJ,1)+COUNTIF($AJ$2:AJ69,AJ69)-1)</f>
        <v>3</v>
      </c>
      <c r="AM69" s="4" cm="1">
        <f t="array" ref="AM69">IF(AQ69&lt;10,0,INDEX(trust_indicator_data!$A$2:$BE$127,(ROW()-ROW(trust_indicator_data!$A$1:$BE$1)),MATCH(selected_indic_name_unadj,trust_indicator_data!$A$1:$BE$1,0)))</f>
        <v>29.949237823486328</v>
      </c>
      <c r="AN69" s="4">
        <f t="shared" si="40"/>
        <v>3</v>
      </c>
      <c r="AP69" s="4">
        <f>RANK(trust_indicator_data!$AQ69,AQ:AQ,1)+COUNTIF($AQ$2:AQ69,AQ69)-1</f>
        <v>77</v>
      </c>
      <c r="AQ69" s="4" cm="1">
        <f t="array" ref="AQ69">INDEX(trust_indicator_data!$A$2:$BE$127,(ROW()-ROW(trust_indicator_data!$A$1:$BE$1)),MATCH(selected_indic_denom,trust_indicator_data!$A$1:$BE$1,0))</f>
        <v>268</v>
      </c>
      <c r="AR69" s="4" cm="1">
        <f t="array" ref="AR69">INDEX(trust_indicator_data!$A$2:$BE$127,(ROW()-ROW(trust_indicator_data!$A$1:$BE$1)),MATCH(selected_indic_name_unadj,trust_indicator_data!$A$1:$BE$1,0))/100</f>
        <v>0.2994923782348633</v>
      </c>
      <c r="AS69" s="4">
        <f>IF(AQ69&lt;10,NA(),trust_indicator_data!$AR69)</f>
        <v>0.2994923782348633</v>
      </c>
      <c r="AU69" s="4">
        <f>INDEX(table_national_indic,MATCH($AU$1,national_indicator_data!$A$1:$A$17,0),MATCH(selected_indic_name_unadj,national_indicator_data!$A$1:$R$1,0))</f>
        <v>0.47675243377685544</v>
      </c>
      <c r="AV69" s="4">
        <f>INDEX(table_national_indic,MATCH($AV$1,national_indicator_data!$A$1:$A$7,0),MATCH(selected_indic_name_unadj,national_indicator_data!$A$1:$R$1,0))</f>
        <v>0.76214221292766271</v>
      </c>
      <c r="AW69" s="4">
        <f t="shared" si="29"/>
        <v>0.70105749074951007</v>
      </c>
      <c r="AX69" s="4">
        <f t="shared" si="30"/>
        <v>0.82322693510581535</v>
      </c>
      <c r="AY69" s="4">
        <f t="shared" si="31"/>
        <v>0.67051512966043381</v>
      </c>
      <c r="AZ69" s="4">
        <f t="shared" si="32"/>
        <v>0.85376929619489161</v>
      </c>
      <c r="BA69" s="4">
        <f>INDEX(table_national_indic,MATCH($BA$1,national_indicator_data!$A$1:$A$7,0),MATCH(selected_indic_name_unadj,national_indicator_data!$A$1:$R$1,0))</f>
        <v>0</v>
      </c>
      <c r="BB69" s="4">
        <f t="shared" si="33"/>
        <v>0.41605872181845766</v>
      </c>
      <c r="BC69" s="4">
        <f t="shared" si="41"/>
        <v>0.53779269298482713</v>
      </c>
      <c r="BD69" s="4">
        <f t="shared" si="42"/>
        <v>0.38612512746997024</v>
      </c>
      <c r="BE69" s="4">
        <f t="shared" si="43"/>
        <v>0.56815825957876775</v>
      </c>
      <c r="BG69">
        <f t="shared" si="44"/>
        <v>68</v>
      </c>
      <c r="BH69">
        <f t="shared" si="34"/>
        <v>249</v>
      </c>
      <c r="BI69" s="42">
        <f t="shared" si="45"/>
        <v>0.52153110504150391</v>
      </c>
      <c r="BJ69" s="42">
        <f t="shared" si="46"/>
        <v>0.41380437479870286</v>
      </c>
      <c r="BK69" s="42">
        <f t="shared" si="47"/>
        <v>0.54007344796212586</v>
      </c>
      <c r="BL69" s="42">
        <f t="shared" si="48"/>
        <v>0.38278646353862061</v>
      </c>
      <c r="BM69" s="42">
        <f t="shared" si="49"/>
        <v>0.5715561495961875</v>
      </c>
      <c r="BN69" s="42">
        <f t="shared" si="50"/>
        <v>0.47675243377685544</v>
      </c>
    </row>
    <row r="70" spans="1:66" x14ac:dyDescent="0.25">
      <c r="A70" t="s">
        <v>204</v>
      </c>
      <c r="B70" t="s">
        <v>203</v>
      </c>
      <c r="C70" t="s">
        <v>98</v>
      </c>
      <c r="D70" t="s">
        <v>49</v>
      </c>
      <c r="E70" s="2">
        <v>406</v>
      </c>
      <c r="F70" s="2">
        <v>377</v>
      </c>
      <c r="G70" s="2">
        <v>24</v>
      </c>
      <c r="H70" s="2">
        <v>78</v>
      </c>
      <c r="I70" s="2">
        <v>96</v>
      </c>
      <c r="J70" s="2">
        <v>59</v>
      </c>
      <c r="K70" s="2">
        <v>17</v>
      </c>
      <c r="L70" s="2">
        <v>44.542774200439453</v>
      </c>
      <c r="M70" s="46" t="str">
        <f t="shared" si="35"/>
        <v>NRA*</v>
      </c>
      <c r="N70" s="2">
        <v>51.912567138671875</v>
      </c>
      <c r="O70" s="46" t="str">
        <f t="shared" si="36"/>
        <v>NRA*</v>
      </c>
      <c r="P70" s="2">
        <v>67.948715209960938</v>
      </c>
      <c r="Q70" s="46" t="str">
        <f t="shared" si="37"/>
        <v>NRA*</v>
      </c>
      <c r="R70" s="2">
        <v>16.710874557495117</v>
      </c>
      <c r="S70" s="2">
        <v>16.292913436889648</v>
      </c>
      <c r="T70" s="2">
        <v>75</v>
      </c>
      <c r="U70" s="4">
        <v>80.261680603027344</v>
      </c>
      <c r="V70" s="2">
        <v>68.75</v>
      </c>
      <c r="W70" s="2">
        <v>75.419570922851563</v>
      </c>
      <c r="X70" s="2">
        <v>41.176471710205078</v>
      </c>
      <c r="Y70" s="2">
        <v>48.5107421875</v>
      </c>
      <c r="Z70" s="2">
        <v>62.711864471435547</v>
      </c>
      <c r="AA70" s="2">
        <v>63.514678955078125</v>
      </c>
      <c r="AB70" s="2">
        <v>94.029853820800781</v>
      </c>
      <c r="AC70" s="46" t="str">
        <f t="shared" si="38"/>
        <v>NRA*</v>
      </c>
      <c r="AD70" s="2">
        <v>29.487178802490234</v>
      </c>
      <c r="AE70" s="2">
        <v>30.575220108032227</v>
      </c>
      <c r="AF70" s="2"/>
      <c r="AG70" s="34">
        <f t="shared" si="39"/>
        <v>406</v>
      </c>
      <c r="AH70" s="34" t="str" cm="1">
        <f t="array" ref="AH70">IF(AG70="NR**","NR**",INDEX(trust_indicator_data!$A$2:$BE$127,(ROW()-ROW(trust_indicator_data!$A$1:$BE$1)),MATCH(selected_indic_name_adj,trust_indicator_data!$A$1:$BE$1,0)))</f>
        <v>NRA*</v>
      </c>
      <c r="AI70" s="34" t="str">
        <f>IF(AG70="NR**","NR**",IF(AH70="NRA*","NRA*",RANK(AH70,AH:AH,1)+COUNTIF($AH$2:AH70,AH70)-1))</f>
        <v>NRA*</v>
      </c>
      <c r="AJ70" s="34" cm="1">
        <f t="array" ref="AJ70">IF(AG70="NR**","NR**",INDEX(trust_indicator_data!$A$2:$BE$127,(ROW()-ROW(trust_indicator_data!$A$1:$BE$1)),MATCH(selected_indic_name_unadj,trust_indicator_data!$A$1:$BE$1,0)))</f>
        <v>44.542774200439453</v>
      </c>
      <c r="AK70" s="34">
        <f>IF(AG70="NR**","NR**",RANK(trust_indicator_data!AJ70,AJ:AJ,1)+COUNTIF($AJ$2:AJ70,AJ70)-1)</f>
        <v>35</v>
      </c>
      <c r="AM70" s="34" cm="1">
        <f t="array" ref="AM70">IF(AQ70&lt;10,0,INDEX(trust_indicator_data!$A$2:$BE$127,(ROW()-ROW(trust_indicator_data!$A$1:$BE$1)),MATCH(selected_indic_name_unadj,trust_indicator_data!$A$1:$BE$1,0)))</f>
        <v>44.542774200439453</v>
      </c>
      <c r="AN70" s="34">
        <f t="shared" si="40"/>
        <v>35</v>
      </c>
      <c r="AP70" s="34">
        <f>RANK(trust_indicator_data!$AQ70,AQ:AQ,1)+COUNTIF($AQ$2:AQ70,AQ70)-1</f>
        <v>108</v>
      </c>
      <c r="AQ70" s="34" cm="1">
        <f t="array" ref="AQ70">INDEX(trust_indicator_data!$A$2:$BE$127,(ROW()-ROW(trust_indicator_data!$A$1:$BE$1)),MATCH(selected_indic_denom,trust_indicator_data!$A$1:$BE$1,0))</f>
        <v>406</v>
      </c>
      <c r="AR70" s="34" cm="1">
        <f t="array" ref="AR70">INDEX(trust_indicator_data!$A$2:$BE$127,(ROW()-ROW(trust_indicator_data!$A$1:$BE$1)),MATCH(selected_indic_name_unadj,trust_indicator_data!$A$1:$BE$1,0))/100</f>
        <v>0.44542774200439456</v>
      </c>
      <c r="AS70" s="34">
        <f>IF(AQ70&lt;10,NA(),trust_indicator_data!$AR70)</f>
        <v>0.44542774200439456</v>
      </c>
      <c r="AU70" s="34">
        <f>INDEX(table_national_indic,MATCH($AU$1,national_indicator_data!$A$1:$A$17,0),MATCH(selected_indic_name_unadj,national_indicator_data!$A$1:$R$1,0))</f>
        <v>0.47675243377685544</v>
      </c>
      <c r="AV70" s="34">
        <f>INDEX(table_national_indic,MATCH($AV$1,national_indicator_data!$A$1:$A$7,0),MATCH(selected_indic_name_unadj,national_indicator_data!$A$1:$R$1,0))</f>
        <v>0.76214221292766271</v>
      </c>
      <c r="AW70" s="34">
        <f t="shared" si="29"/>
        <v>0.71251304622911615</v>
      </c>
      <c r="AX70" s="34">
        <f t="shared" si="30"/>
        <v>0.81177137962620927</v>
      </c>
      <c r="AY70" s="34">
        <f t="shared" si="31"/>
        <v>0.68769846287984293</v>
      </c>
      <c r="AZ70" s="34">
        <f t="shared" si="32"/>
        <v>0.83658596297548249</v>
      </c>
      <c r="BA70" s="34">
        <f>INDEX(table_national_indic,MATCH($BA$1,national_indicator_data!$A$1:$A$7,0),MATCH(selected_indic_name_unadj,national_indicator_data!$A$1:$R$1,0))</f>
        <v>0</v>
      </c>
      <c r="BB70" s="34">
        <f t="shared" si="33"/>
        <v>0.42737273090032618</v>
      </c>
      <c r="BC70" s="34">
        <f t="shared" si="41"/>
        <v>0.52636098873041381</v>
      </c>
      <c r="BD70" s="34">
        <f t="shared" si="42"/>
        <v>0.40292082452406008</v>
      </c>
      <c r="BE70" s="34">
        <f t="shared" si="43"/>
        <v>0.5510984318877461</v>
      </c>
      <c r="BG70">
        <f t="shared" si="44"/>
        <v>69</v>
      </c>
      <c r="BH70">
        <f t="shared" si="34"/>
        <v>252</v>
      </c>
      <c r="BI70" s="42">
        <f t="shared" si="45"/>
        <v>0.58536586761474607</v>
      </c>
      <c r="BJ70" s="42">
        <f t="shared" si="46"/>
        <v>0.4141770812687226</v>
      </c>
      <c r="BK70" s="42">
        <f t="shared" si="47"/>
        <v>0.53969630742371522</v>
      </c>
      <c r="BL70" s="42">
        <f t="shared" si="48"/>
        <v>0.3833382435914634</v>
      </c>
      <c r="BM70" s="42">
        <f t="shared" si="49"/>
        <v>0.57099442608201612</v>
      </c>
      <c r="BN70" s="42">
        <f t="shared" si="50"/>
        <v>0.47675243377685544</v>
      </c>
    </row>
    <row r="71" spans="1:66" x14ac:dyDescent="0.25">
      <c r="A71" t="s">
        <v>178</v>
      </c>
      <c r="B71" t="s">
        <v>177</v>
      </c>
      <c r="C71" t="s">
        <v>69</v>
      </c>
      <c r="D71" t="s">
        <v>67</v>
      </c>
      <c r="E71" s="2">
        <v>343</v>
      </c>
      <c r="F71" s="2">
        <v>301</v>
      </c>
      <c r="G71" s="2">
        <v>38</v>
      </c>
      <c r="H71" s="2">
        <v>63</v>
      </c>
      <c r="I71" s="2">
        <v>79</v>
      </c>
      <c r="J71" s="2">
        <v>70</v>
      </c>
      <c r="K71" s="2">
        <v>21</v>
      </c>
      <c r="L71" s="2">
        <v>45.394737243652344</v>
      </c>
      <c r="M71" s="46" t="str">
        <f t="shared" si="35"/>
        <v>NRA*</v>
      </c>
      <c r="N71" s="2">
        <v>51.651653289794922</v>
      </c>
      <c r="O71" s="46" t="str">
        <f t="shared" si="36"/>
        <v>NRA*</v>
      </c>
      <c r="P71" s="2">
        <v>76.190475463867188</v>
      </c>
      <c r="Q71" s="46" t="str">
        <f t="shared" si="37"/>
        <v>NRA*</v>
      </c>
      <c r="R71" s="2">
        <v>16.279069900512695</v>
      </c>
      <c r="S71" s="2">
        <v>16.749345779418945</v>
      </c>
      <c r="T71" s="2">
        <v>55.263156890869141</v>
      </c>
      <c r="U71" s="4">
        <v>63.190330505371094</v>
      </c>
      <c r="V71" s="2">
        <v>78.481010437011719</v>
      </c>
      <c r="W71" s="2">
        <v>82.297988891601563</v>
      </c>
      <c r="X71" s="2">
        <v>38.095237731933594</v>
      </c>
      <c r="Y71" s="2">
        <v>39.480606079101563</v>
      </c>
      <c r="Z71" s="2">
        <v>55.714286804199219</v>
      </c>
      <c r="AA71" s="2">
        <v>56.058021545410156</v>
      </c>
      <c r="AB71" s="2">
        <v>91.139244079589844</v>
      </c>
      <c r="AC71" s="46" t="str">
        <f t="shared" si="38"/>
        <v>NRA*</v>
      </c>
      <c r="AD71" s="2">
        <v>28.428092956542969</v>
      </c>
      <c r="AE71" s="2">
        <v>24.363216400146484</v>
      </c>
      <c r="AF71" s="2"/>
      <c r="AG71" s="4">
        <f t="shared" si="39"/>
        <v>343</v>
      </c>
      <c r="AH71" s="4" t="str" cm="1">
        <f t="array" ref="AH71">IF(AG71="NR**","NR**",INDEX(trust_indicator_data!$A$2:$BE$127,(ROW()-ROW(trust_indicator_data!$A$1:$BE$1)),MATCH(selected_indic_name_adj,trust_indicator_data!$A$1:$BE$1,0)))</f>
        <v>NRA*</v>
      </c>
      <c r="AI71" s="4" t="str">
        <f>IF(AG71="NR**","NR**",IF(AH71="NRA*","NRA*",RANK(AH71,AH:AH,1)+COUNTIF($AH$2:AH71,AH71)-1))</f>
        <v>NRA*</v>
      </c>
      <c r="AJ71" s="4" cm="1">
        <f t="array" ref="AJ71">IF(AG71="NR**","NR**",INDEX(trust_indicator_data!$A$2:$BE$127,(ROW()-ROW(trust_indicator_data!$A$1:$BE$1)),MATCH(selected_indic_name_unadj,trust_indicator_data!$A$1:$BE$1,0)))</f>
        <v>45.394737243652344</v>
      </c>
      <c r="AK71" s="4">
        <f>IF(AG71="NR**","NR**",RANK(trust_indicator_data!AJ71,AJ:AJ,1)+COUNTIF($AJ$2:AJ71,AJ71)-1)</f>
        <v>39</v>
      </c>
      <c r="AM71" s="4" cm="1">
        <f t="array" ref="AM71">IF(AQ71&lt;10,0,INDEX(trust_indicator_data!$A$2:$BE$127,(ROW()-ROW(trust_indicator_data!$A$1:$BE$1)),MATCH(selected_indic_name_unadj,trust_indicator_data!$A$1:$BE$1,0)))</f>
        <v>45.394737243652344</v>
      </c>
      <c r="AN71" s="4">
        <f t="shared" si="40"/>
        <v>39</v>
      </c>
      <c r="AP71" s="4">
        <f>RANK(trust_indicator_data!$AQ71,AQ:AQ,1)+COUNTIF($AQ$2:AQ71,AQ71)-1</f>
        <v>93</v>
      </c>
      <c r="AQ71" s="4" cm="1">
        <f t="array" ref="AQ71">INDEX(trust_indicator_data!$A$2:$BE$127,(ROW()-ROW(trust_indicator_data!$A$1:$BE$1)),MATCH(selected_indic_denom,trust_indicator_data!$A$1:$BE$1,0))</f>
        <v>343</v>
      </c>
      <c r="AR71" s="4" cm="1">
        <f t="array" ref="AR71">INDEX(trust_indicator_data!$A$2:$BE$127,(ROW()-ROW(trust_indicator_data!$A$1:$BE$1)),MATCH(selected_indic_name_unadj,trust_indicator_data!$A$1:$BE$1,0))/100</f>
        <v>0.45394737243652344</v>
      </c>
      <c r="AS71" s="4">
        <f>IF(AQ71&lt;10,NA(),trust_indicator_data!$AR71)</f>
        <v>0.45394737243652344</v>
      </c>
      <c r="AU71" s="4">
        <f>INDEX(table_national_indic,MATCH($AU$1,national_indicator_data!$A$1:$A$17,0),MATCH(selected_indic_name_unadj,national_indicator_data!$A$1:$R$1,0))</f>
        <v>0.47675243377685544</v>
      </c>
      <c r="AV71" s="4">
        <f>INDEX(table_national_indic,MATCH($AV$1,national_indicator_data!$A$1:$A$7,0),MATCH(selected_indic_name_unadj,national_indicator_data!$A$1:$R$1,0))</f>
        <v>0.76214221292766271</v>
      </c>
      <c r="AW71" s="4">
        <f t="shared" si="29"/>
        <v>0.70814728821205886</v>
      </c>
      <c r="AX71" s="4">
        <f t="shared" si="30"/>
        <v>0.81613713764326656</v>
      </c>
      <c r="AY71" s="4">
        <f t="shared" si="31"/>
        <v>0.68114982585425687</v>
      </c>
      <c r="AZ71" s="4">
        <f t="shared" si="32"/>
        <v>0.84313460000106855</v>
      </c>
      <c r="BA71" s="4">
        <f>INDEX(table_national_indic,MATCH($BA$1,national_indicator_data!$A$1:$A$7,0),MATCH(selected_indic_name_unadj,national_indicator_data!$A$1:$R$1,0))</f>
        <v>0</v>
      </c>
      <c r="BB71" s="4">
        <f t="shared" si="33"/>
        <v>0.42305609811500006</v>
      </c>
      <c r="BC71" s="4">
        <f t="shared" si="41"/>
        <v>0.53071961471703821</v>
      </c>
      <c r="BD71" s="4">
        <f t="shared" si="42"/>
        <v>0.39650531669932304</v>
      </c>
      <c r="BE71" s="4">
        <f t="shared" si="43"/>
        <v>0.55760821266233596</v>
      </c>
      <c r="BG71">
        <f t="shared" si="44"/>
        <v>70</v>
      </c>
      <c r="BH71">
        <f t="shared" si="34"/>
        <v>258</v>
      </c>
      <c r="BI71" s="42">
        <f t="shared" si="45"/>
        <v>0.5230125427246094</v>
      </c>
      <c r="BJ71" s="42">
        <f t="shared" si="46"/>
        <v>0.41490303735876999</v>
      </c>
      <c r="BK71" s="42">
        <f t="shared" si="47"/>
        <v>0.53896179215038031</v>
      </c>
      <c r="BL71" s="42">
        <f t="shared" si="48"/>
        <v>0.38441322064244593</v>
      </c>
      <c r="BM71" s="42">
        <f t="shared" si="49"/>
        <v>0.56990025381666221</v>
      </c>
      <c r="BN71" s="42">
        <f t="shared" si="50"/>
        <v>0.47675243377685544</v>
      </c>
    </row>
    <row r="72" spans="1:66" x14ac:dyDescent="0.25">
      <c r="A72" t="s">
        <v>180</v>
      </c>
      <c r="B72" t="s">
        <v>179</v>
      </c>
      <c r="C72" t="s">
        <v>66</v>
      </c>
      <c r="D72" t="s">
        <v>64</v>
      </c>
      <c r="E72" s="2">
        <v>228</v>
      </c>
      <c r="F72" s="2">
        <v>214</v>
      </c>
      <c r="G72" s="2">
        <v>10</v>
      </c>
      <c r="H72" s="2">
        <v>28</v>
      </c>
      <c r="I72" s="2">
        <v>38</v>
      </c>
      <c r="J72" s="2">
        <v>41</v>
      </c>
      <c r="K72" s="2">
        <v>17</v>
      </c>
      <c r="L72" s="2">
        <v>52.606636047363281</v>
      </c>
      <c r="M72" s="46" t="str">
        <f t="shared" si="35"/>
        <v>NRA*</v>
      </c>
      <c r="N72" s="2">
        <v>41.626792907714844</v>
      </c>
      <c r="O72" s="46" t="str">
        <f t="shared" si="36"/>
        <v>NRA*</v>
      </c>
      <c r="P72" s="2">
        <v>100</v>
      </c>
      <c r="Q72" s="46" t="str">
        <f t="shared" si="37"/>
        <v>NRA*</v>
      </c>
      <c r="R72" s="2">
        <v>17.757009506225586</v>
      </c>
      <c r="S72" s="2">
        <v>18.837179183959961</v>
      </c>
      <c r="T72" s="2">
        <v>60</v>
      </c>
      <c r="U72" s="4">
        <v>70.410446166992188</v>
      </c>
      <c r="V72" s="2">
        <v>86.84210205078125</v>
      </c>
      <c r="W72" s="2">
        <v>79.510627746582031</v>
      </c>
      <c r="X72" s="2">
        <v>47.058822631835938</v>
      </c>
      <c r="Y72" s="2">
        <v>45.744476318359375</v>
      </c>
      <c r="Z72" s="2">
        <v>43.902439117431641</v>
      </c>
      <c r="AA72" s="2">
        <v>39.083580017089844</v>
      </c>
      <c r="AB72" s="2">
        <v>76.923080444335938</v>
      </c>
      <c r="AC72" s="46" t="str">
        <f t="shared" si="38"/>
        <v>NRA*</v>
      </c>
      <c r="AD72" s="2">
        <v>34.090908050537109</v>
      </c>
      <c r="AE72" s="2">
        <v>38.788887023925781</v>
      </c>
      <c r="AF72" s="2"/>
      <c r="AG72" s="34">
        <f t="shared" si="39"/>
        <v>228</v>
      </c>
      <c r="AH72" s="34" t="str" cm="1">
        <f t="array" ref="AH72">IF(AG72="NR**","NR**",INDEX(trust_indicator_data!$A$2:$BE$127,(ROW()-ROW(trust_indicator_data!$A$1:$BE$1)),MATCH(selected_indic_name_adj,trust_indicator_data!$A$1:$BE$1,0)))</f>
        <v>NRA*</v>
      </c>
      <c r="AI72" s="34" t="str">
        <f>IF(AG72="NR**","NR**",IF(AH72="NRA*","NRA*",RANK(AH72,AH:AH,1)+COUNTIF($AH$2:AH72,AH72)-1))</f>
        <v>NRA*</v>
      </c>
      <c r="AJ72" s="34" cm="1">
        <f t="array" ref="AJ72">IF(AG72="NR**","NR**",INDEX(trust_indicator_data!$A$2:$BE$127,(ROW()-ROW(trust_indicator_data!$A$1:$BE$1)),MATCH(selected_indic_name_unadj,trust_indicator_data!$A$1:$BE$1,0)))</f>
        <v>52.606636047363281</v>
      </c>
      <c r="AK72" s="34">
        <f>IF(AG72="NR**","NR**",RANK(trust_indicator_data!AJ72,AJ:AJ,1)+COUNTIF($AJ$2:AJ72,AJ72)-1)</f>
        <v>87</v>
      </c>
      <c r="AM72" s="34" cm="1">
        <f t="array" ref="AM72">IF(AQ72&lt;10,0,INDEX(trust_indicator_data!$A$2:$BE$127,(ROW()-ROW(trust_indicator_data!$A$1:$BE$1)),MATCH(selected_indic_name_unadj,trust_indicator_data!$A$1:$BE$1,0)))</f>
        <v>52.606636047363281</v>
      </c>
      <c r="AN72" s="34">
        <f t="shared" si="40"/>
        <v>87</v>
      </c>
      <c r="AP72" s="34">
        <f>RANK(trust_indicator_data!$AQ72,AQ:AQ,1)+COUNTIF($AQ$2:AQ72,AQ72)-1</f>
        <v>58</v>
      </c>
      <c r="AQ72" s="34" cm="1">
        <f t="array" ref="AQ72">INDEX(trust_indicator_data!$A$2:$BE$127,(ROW()-ROW(trust_indicator_data!$A$1:$BE$1)),MATCH(selected_indic_denom,trust_indicator_data!$A$1:$BE$1,0))</f>
        <v>228</v>
      </c>
      <c r="AR72" s="34" cm="1">
        <f t="array" ref="AR72">INDEX(trust_indicator_data!$A$2:$BE$127,(ROW()-ROW(trust_indicator_data!$A$1:$BE$1)),MATCH(selected_indic_name_unadj,trust_indicator_data!$A$1:$BE$1,0))/100</f>
        <v>0.52606636047363287</v>
      </c>
      <c r="AS72" s="34">
        <f>IF(AQ72&lt;10,NA(),trust_indicator_data!$AR72)</f>
        <v>0.52606636047363287</v>
      </c>
      <c r="AU72" s="34">
        <f>INDEX(table_national_indic,MATCH($AU$1,national_indicator_data!$A$1:$A$17,0),MATCH(selected_indic_name_unadj,national_indicator_data!$A$1:$R$1,0))</f>
        <v>0.47675243377685544</v>
      </c>
      <c r="AV72" s="34">
        <f>INDEX(table_national_indic,MATCH($AV$1,national_indicator_data!$A$1:$A$7,0),MATCH(selected_indic_name_unadj,national_indicator_data!$A$1:$R$1,0))</f>
        <v>0.76214221292766271</v>
      </c>
      <c r="AW72" s="34">
        <f t="shared" si="29"/>
        <v>0.69591559507441048</v>
      </c>
      <c r="AX72" s="34">
        <f t="shared" si="30"/>
        <v>0.82836883078091494</v>
      </c>
      <c r="AY72" s="34">
        <f t="shared" si="31"/>
        <v>0.66280228614778447</v>
      </c>
      <c r="AZ72" s="34">
        <f t="shared" si="32"/>
        <v>0.86148213970754095</v>
      </c>
      <c r="BA72" s="34">
        <f>INDEX(table_national_indic,MATCH($BA$1,national_indicator_data!$A$1:$A$7,0),MATCH(selected_indic_name_unadj,national_indicator_data!$A$1:$R$1,0))</f>
        <v>0</v>
      </c>
      <c r="BB72" s="34">
        <f t="shared" si="33"/>
        <v>0.41099433302062677</v>
      </c>
      <c r="BC72" s="34">
        <f t="shared" si="41"/>
        <v>0.54291779064576529</v>
      </c>
      <c r="BD72" s="34">
        <f t="shared" si="42"/>
        <v>0.37862882573745554</v>
      </c>
      <c r="BE72" s="34">
        <f t="shared" si="43"/>
        <v>0.57579069423137341</v>
      </c>
      <c r="BG72">
        <f t="shared" si="44"/>
        <v>71</v>
      </c>
      <c r="BH72">
        <f t="shared" si="34"/>
        <v>260</v>
      </c>
      <c r="BI72" s="42">
        <f t="shared" si="45"/>
        <v>0.58547008514404297</v>
      </c>
      <c r="BJ72" s="42">
        <f t="shared" si="46"/>
        <v>0.41513946029317017</v>
      </c>
      <c r="BK72" s="42">
        <f t="shared" si="47"/>
        <v>0.53872260382871395</v>
      </c>
      <c r="BL72" s="42">
        <f t="shared" si="48"/>
        <v>0.38476337259432264</v>
      </c>
      <c r="BM72" s="42">
        <f t="shared" si="49"/>
        <v>0.56954389976472908</v>
      </c>
      <c r="BN72" s="42">
        <f t="shared" si="50"/>
        <v>0.47675243377685544</v>
      </c>
    </row>
    <row r="73" spans="1:66" x14ac:dyDescent="0.25">
      <c r="A73" t="s">
        <v>146</v>
      </c>
      <c r="B73" t="s">
        <v>145</v>
      </c>
      <c r="C73" t="s">
        <v>98</v>
      </c>
      <c r="D73" t="s">
        <v>49</v>
      </c>
      <c r="E73" s="2">
        <v>279</v>
      </c>
      <c r="F73" s="2">
        <v>251</v>
      </c>
      <c r="G73" s="2">
        <v>25</v>
      </c>
      <c r="H73" s="2">
        <v>39</v>
      </c>
      <c r="I73" s="2">
        <v>49</v>
      </c>
      <c r="J73" s="2">
        <v>71</v>
      </c>
      <c r="K73" s="2">
        <v>19</v>
      </c>
      <c r="L73" s="2">
        <v>55.185184478759766</v>
      </c>
      <c r="M73" s="46" t="str">
        <f t="shared" si="35"/>
        <v>NRA*</v>
      </c>
      <c r="N73" s="2">
        <v>53.874538421630859</v>
      </c>
      <c r="O73" s="46" t="str">
        <f t="shared" si="36"/>
        <v>NRA*</v>
      </c>
      <c r="P73" s="2">
        <v>64.102561950683594</v>
      </c>
      <c r="Q73" s="46" t="str">
        <f t="shared" si="37"/>
        <v>NRA*</v>
      </c>
      <c r="R73" s="2">
        <v>8.7649402618408203</v>
      </c>
      <c r="S73" s="2">
        <v>11.178009033203125</v>
      </c>
      <c r="T73" s="2">
        <v>88</v>
      </c>
      <c r="U73" s="4">
        <v>82.06573486328125</v>
      </c>
      <c r="V73" s="2">
        <v>67.346939086914063</v>
      </c>
      <c r="W73" s="2">
        <v>75.271224975585938</v>
      </c>
      <c r="X73" s="2">
        <v>57.894737243652344</v>
      </c>
      <c r="Y73" s="2">
        <v>56.679660797119141</v>
      </c>
      <c r="Z73" s="2">
        <v>71.830986022949219</v>
      </c>
      <c r="AA73" s="2">
        <v>69.129798889160156</v>
      </c>
      <c r="AB73" s="2">
        <v>100</v>
      </c>
      <c r="AC73" s="46" t="str">
        <f t="shared" si="38"/>
        <v>NRA*</v>
      </c>
      <c r="AD73" s="2">
        <v>32.539684295654297</v>
      </c>
      <c r="AE73" s="2">
        <v>30.472433090209961</v>
      </c>
      <c r="AF73" s="2"/>
      <c r="AG73" s="4">
        <f t="shared" si="39"/>
        <v>279</v>
      </c>
      <c r="AH73" s="4" t="str" cm="1">
        <f t="array" ref="AH73">IF(AG73="NR**","NR**",INDEX(trust_indicator_data!$A$2:$BE$127,(ROW()-ROW(trust_indicator_data!$A$1:$BE$1)),MATCH(selected_indic_name_adj,trust_indicator_data!$A$1:$BE$1,0)))</f>
        <v>NRA*</v>
      </c>
      <c r="AI73" s="4" t="str">
        <f>IF(AG73="NR**","NR**",IF(AH73="NRA*","NRA*",RANK(AH73,AH:AH,1)+COUNTIF($AH$2:AH73,AH73)-1))</f>
        <v>NRA*</v>
      </c>
      <c r="AJ73" s="4" cm="1">
        <f t="array" ref="AJ73">IF(AG73="NR**","NR**",INDEX(trust_indicator_data!$A$2:$BE$127,(ROW()-ROW(trust_indicator_data!$A$1:$BE$1)),MATCH(selected_indic_name_unadj,trust_indicator_data!$A$1:$BE$1,0)))</f>
        <v>55.185184478759766</v>
      </c>
      <c r="AK73" s="4">
        <f>IF(AG73="NR**","NR**",RANK(trust_indicator_data!AJ73,AJ:AJ,1)+COUNTIF($AJ$2:AJ73,AJ73)-1)</f>
        <v>106</v>
      </c>
      <c r="AM73" s="4" cm="1">
        <f t="array" ref="AM73">IF(AQ73&lt;10,0,INDEX(trust_indicator_data!$A$2:$BE$127,(ROW()-ROW(trust_indicator_data!$A$1:$BE$1)),MATCH(selected_indic_name_unadj,trust_indicator_data!$A$1:$BE$1,0)))</f>
        <v>55.185184478759766</v>
      </c>
      <c r="AN73" s="4">
        <f t="shared" si="40"/>
        <v>106</v>
      </c>
      <c r="AP73" s="4">
        <f>RANK(trust_indicator_data!$AQ73,AQ:AQ,1)+COUNTIF($AQ$2:AQ73,AQ73)-1</f>
        <v>80</v>
      </c>
      <c r="AQ73" s="4" cm="1">
        <f t="array" ref="AQ73">INDEX(trust_indicator_data!$A$2:$BE$127,(ROW()-ROW(trust_indicator_data!$A$1:$BE$1)),MATCH(selected_indic_denom,trust_indicator_data!$A$1:$BE$1,0))</f>
        <v>279</v>
      </c>
      <c r="AR73" s="4" cm="1">
        <f t="array" ref="AR73">INDEX(trust_indicator_data!$A$2:$BE$127,(ROW()-ROW(trust_indicator_data!$A$1:$BE$1)),MATCH(selected_indic_name_unadj,trust_indicator_data!$A$1:$BE$1,0))/100</f>
        <v>0.55185184478759763</v>
      </c>
      <c r="AS73" s="4">
        <f>IF(AQ73&lt;10,NA(),trust_indicator_data!$AR73)</f>
        <v>0.55185184478759763</v>
      </c>
      <c r="AU73" s="4">
        <f>INDEX(table_national_indic,MATCH($AU$1,national_indicator_data!$A$1:$A$17,0),MATCH(selected_indic_name_unadj,national_indicator_data!$A$1:$R$1,0))</f>
        <v>0.47675243377685544</v>
      </c>
      <c r="AV73" s="4">
        <f>INDEX(table_national_indic,MATCH($AV$1,national_indicator_data!$A$1:$A$7,0),MATCH(selected_indic_name_unadj,national_indicator_data!$A$1:$R$1,0))</f>
        <v>0.76214221292766271</v>
      </c>
      <c r="AW73" s="4">
        <f t="shared" si="29"/>
        <v>0.70227377891873777</v>
      </c>
      <c r="AX73" s="4">
        <f t="shared" si="30"/>
        <v>0.82201064693658765</v>
      </c>
      <c r="AY73" s="4">
        <f t="shared" si="31"/>
        <v>0.67233956191427524</v>
      </c>
      <c r="AZ73" s="4">
        <f t="shared" si="32"/>
        <v>0.85194486394105018</v>
      </c>
      <c r="BA73" s="4">
        <f>INDEX(table_national_indic,MATCH($BA$1,national_indicator_data!$A$1:$A$7,0),MATCH(selected_indic_name_unadj,national_indicator_data!$A$1:$R$1,0))</f>
        <v>0</v>
      </c>
      <c r="BB73" s="4">
        <f t="shared" si="33"/>
        <v>0.41725799438898675</v>
      </c>
      <c r="BC73" s="4">
        <f t="shared" si="41"/>
        <v>0.53657977358942999</v>
      </c>
      <c r="BD73" s="4">
        <f t="shared" si="42"/>
        <v>0.38790236723052768</v>
      </c>
      <c r="BE73" s="4">
        <f t="shared" si="43"/>
        <v>0.56635040806267101</v>
      </c>
      <c r="BG73">
        <f t="shared" si="44"/>
        <v>72</v>
      </c>
      <c r="BH73">
        <f t="shared" si="34"/>
        <v>261</v>
      </c>
      <c r="BI73" s="42">
        <f t="shared" si="45"/>
        <v>0.53386455535888677</v>
      </c>
      <c r="BJ73" s="42">
        <f t="shared" si="46"/>
        <v>0.41525665863508598</v>
      </c>
      <c r="BK73" s="42">
        <f t="shared" si="47"/>
        <v>0.53860403866587647</v>
      </c>
      <c r="BL73" s="42">
        <f t="shared" si="48"/>
        <v>0.38493695949919943</v>
      </c>
      <c r="BM73" s="42">
        <f t="shared" si="49"/>
        <v>0.56936724735141231</v>
      </c>
      <c r="BN73" s="42">
        <f t="shared" si="50"/>
        <v>0.47675243377685544</v>
      </c>
    </row>
    <row r="74" spans="1:66" x14ac:dyDescent="0.25">
      <c r="A74" t="s">
        <v>172</v>
      </c>
      <c r="B74" t="s">
        <v>171</v>
      </c>
      <c r="C74" t="s">
        <v>98</v>
      </c>
      <c r="D74" t="s">
        <v>49</v>
      </c>
      <c r="E74" s="2">
        <v>287</v>
      </c>
      <c r="F74" s="2">
        <v>273</v>
      </c>
      <c r="G74" s="2">
        <v>11</v>
      </c>
      <c r="H74" s="2">
        <v>18</v>
      </c>
      <c r="I74" s="2">
        <v>21</v>
      </c>
      <c r="J74" s="2">
        <v>20</v>
      </c>
      <c r="K74" s="2">
        <v>9</v>
      </c>
      <c r="L74" s="2">
        <v>40.909091949462891</v>
      </c>
      <c r="M74" s="46" t="str">
        <f t="shared" si="35"/>
        <v>NRA*</v>
      </c>
      <c r="N74" s="2">
        <v>56.25</v>
      </c>
      <c r="O74" s="46" t="str">
        <f t="shared" si="36"/>
        <v>NRA*</v>
      </c>
      <c r="P74" s="2">
        <v>44.444442749023438</v>
      </c>
      <c r="Q74" s="46" t="str">
        <f t="shared" si="37"/>
        <v>NRA*</v>
      </c>
      <c r="R74" s="2">
        <v>9.1575088500976563</v>
      </c>
      <c r="S74" s="2">
        <v>18.433582305908203</v>
      </c>
      <c r="T74" s="2">
        <v>63.636363983154297</v>
      </c>
      <c r="U74" s="4">
        <v>60.977020263671875</v>
      </c>
      <c r="V74" s="2">
        <v>66.666664123535156</v>
      </c>
      <c r="W74" s="2">
        <v>76.01068115234375</v>
      </c>
      <c r="X74" s="2"/>
      <c r="Y74" s="2"/>
      <c r="Z74" s="2">
        <v>60</v>
      </c>
      <c r="AA74" s="2">
        <v>60.090915679931641</v>
      </c>
      <c r="AB74" s="2">
        <v>93.93939208984375</v>
      </c>
      <c r="AC74" s="46" t="str">
        <f t="shared" si="38"/>
        <v>NRA*</v>
      </c>
      <c r="AD74" s="2">
        <v>34.297519683837891</v>
      </c>
      <c r="AE74" s="2">
        <v>26.950626373291016</v>
      </c>
      <c r="AF74" s="2"/>
      <c r="AG74" s="34">
        <f t="shared" si="39"/>
        <v>287</v>
      </c>
      <c r="AH74" s="34" t="str" cm="1">
        <f t="array" ref="AH74">IF(AG74="NR**","NR**",INDEX(trust_indicator_data!$A$2:$BE$127,(ROW()-ROW(trust_indicator_data!$A$1:$BE$1)),MATCH(selected_indic_name_adj,trust_indicator_data!$A$1:$BE$1,0)))</f>
        <v>NRA*</v>
      </c>
      <c r="AI74" s="34" t="str">
        <f>IF(AG74="NR**","NR**",IF(AH74="NRA*","NRA*",RANK(AH74,AH:AH,1)+COUNTIF($AH$2:AH74,AH74)-1))</f>
        <v>NRA*</v>
      </c>
      <c r="AJ74" s="34" cm="1">
        <f t="array" ref="AJ74">IF(AG74="NR**","NR**",INDEX(trust_indicator_data!$A$2:$BE$127,(ROW()-ROW(trust_indicator_data!$A$1:$BE$1)),MATCH(selected_indic_name_unadj,trust_indicator_data!$A$1:$BE$1,0)))</f>
        <v>40.909091949462891</v>
      </c>
      <c r="AK74" s="34">
        <f>IF(AG74="NR**","NR**",RANK(trust_indicator_data!AJ74,AJ:AJ,1)+COUNTIF($AJ$2:AJ74,AJ74)-1)</f>
        <v>20</v>
      </c>
      <c r="AM74" s="34" cm="1">
        <f t="array" ref="AM74">IF(AQ74&lt;10,0,INDEX(trust_indicator_data!$A$2:$BE$127,(ROW()-ROW(trust_indicator_data!$A$1:$BE$1)),MATCH(selected_indic_name_unadj,trust_indicator_data!$A$1:$BE$1,0)))</f>
        <v>40.909091949462891</v>
      </c>
      <c r="AN74" s="34">
        <f t="shared" si="40"/>
        <v>20</v>
      </c>
      <c r="AP74" s="34">
        <f>RANK(trust_indicator_data!$AQ74,AQ:AQ,1)+COUNTIF($AQ$2:AQ74,AQ74)-1</f>
        <v>83</v>
      </c>
      <c r="AQ74" s="34" cm="1">
        <f t="array" ref="AQ74">INDEX(trust_indicator_data!$A$2:$BE$127,(ROW()-ROW(trust_indicator_data!$A$1:$BE$1)),MATCH(selected_indic_denom,trust_indicator_data!$A$1:$BE$1,0))</f>
        <v>287</v>
      </c>
      <c r="AR74" s="34" cm="1">
        <f t="array" ref="AR74">INDEX(trust_indicator_data!$A$2:$BE$127,(ROW()-ROW(trust_indicator_data!$A$1:$BE$1)),MATCH(selected_indic_name_unadj,trust_indicator_data!$A$1:$BE$1,0))/100</f>
        <v>0.40909091949462889</v>
      </c>
      <c r="AS74" s="34">
        <f>IF(AQ74&lt;10,NA(),trust_indicator_data!$AR74)</f>
        <v>0.40909091949462889</v>
      </c>
      <c r="AU74" s="34">
        <f>INDEX(table_national_indic,MATCH($AU$1,national_indicator_data!$A$1:$A$17,0),MATCH(selected_indic_name_unadj,national_indicator_data!$A$1:$R$1,0))</f>
        <v>0.47675243377685544</v>
      </c>
      <c r="AV74" s="34">
        <f>INDEX(table_national_indic,MATCH($AV$1,national_indicator_data!$A$1:$A$7,0),MATCH(selected_indic_name_unadj,national_indicator_data!$A$1:$R$1,0))</f>
        <v>0.76214221292766271</v>
      </c>
      <c r="AW74" s="34">
        <f t="shared" si="29"/>
        <v>0.7031140793175672</v>
      </c>
      <c r="AX74" s="34">
        <f t="shared" si="30"/>
        <v>0.82117034653775822</v>
      </c>
      <c r="AY74" s="34">
        <f t="shared" si="31"/>
        <v>0.67360001251251944</v>
      </c>
      <c r="AZ74" s="34">
        <f t="shared" si="32"/>
        <v>0.85068441334280598</v>
      </c>
      <c r="BA74" s="34">
        <f>INDEX(table_national_indic,MATCH($BA$1,national_indicator_data!$A$1:$A$7,0),MATCH(selected_indic_name_unadj,national_indicator_data!$A$1:$R$1,0))</f>
        <v>0</v>
      </c>
      <c r="BB74" s="34">
        <f t="shared" si="33"/>
        <v>0.41808682558234855</v>
      </c>
      <c r="BC74" s="34">
        <f t="shared" si="41"/>
        <v>0.53574167372197201</v>
      </c>
      <c r="BD74" s="34">
        <f t="shared" si="42"/>
        <v>0.3891310869913075</v>
      </c>
      <c r="BE74" s="34">
        <f t="shared" si="43"/>
        <v>0.56510089521014162</v>
      </c>
      <c r="BG74">
        <f t="shared" si="44"/>
        <v>73</v>
      </c>
      <c r="BH74">
        <f t="shared" si="34"/>
        <v>262</v>
      </c>
      <c r="BI74" s="42">
        <f t="shared" si="45"/>
        <v>0.47346939086914064</v>
      </c>
      <c r="BJ74" s="42">
        <f t="shared" si="46"/>
        <v>0.4153731901049747</v>
      </c>
      <c r="BK74" s="42">
        <f t="shared" si="47"/>
        <v>0.53848615079552553</v>
      </c>
      <c r="BL74" s="42">
        <f t="shared" si="48"/>
        <v>0.38510956615485087</v>
      </c>
      <c r="BM74" s="42">
        <f t="shared" si="49"/>
        <v>0.56919159852100609</v>
      </c>
      <c r="BN74" s="42">
        <f t="shared" si="50"/>
        <v>0.47675243377685544</v>
      </c>
    </row>
    <row r="75" spans="1:66" x14ac:dyDescent="0.25">
      <c r="A75" t="s">
        <v>106</v>
      </c>
      <c r="B75" t="s">
        <v>105</v>
      </c>
      <c r="C75" t="s">
        <v>42</v>
      </c>
      <c r="D75" t="s">
        <v>40</v>
      </c>
      <c r="E75" s="2">
        <v>262</v>
      </c>
      <c r="F75" s="2">
        <v>241</v>
      </c>
      <c r="G75" s="2">
        <v>19</v>
      </c>
      <c r="H75" s="2">
        <v>60</v>
      </c>
      <c r="I75" s="2">
        <v>67</v>
      </c>
      <c r="J75" s="2">
        <v>66</v>
      </c>
      <c r="K75" s="2">
        <v>18</v>
      </c>
      <c r="L75" s="2">
        <v>47.346939086914063</v>
      </c>
      <c r="M75" s="46" t="str">
        <f t="shared" si="35"/>
        <v>NRA*</v>
      </c>
      <c r="N75" s="2">
        <v>61.632652282714844</v>
      </c>
      <c r="O75" s="46" t="str">
        <f t="shared" si="36"/>
        <v>NRA*</v>
      </c>
      <c r="P75" s="2">
        <v>95</v>
      </c>
      <c r="Q75" s="46" t="str">
        <f t="shared" si="37"/>
        <v>NRA*</v>
      </c>
      <c r="R75" s="2">
        <v>24.481327056884766</v>
      </c>
      <c r="S75" s="2">
        <v>19.233816146850586</v>
      </c>
      <c r="T75" s="2">
        <v>84.210525512695313</v>
      </c>
      <c r="U75" s="4">
        <v>85.25439453125</v>
      </c>
      <c r="V75" s="2">
        <v>95.522384643554688</v>
      </c>
      <c r="W75" s="2">
        <v>90.986923217773438</v>
      </c>
      <c r="X75" s="2">
        <v>77.777778625488281</v>
      </c>
      <c r="Y75" s="2">
        <v>72.486564636230469</v>
      </c>
      <c r="Z75" s="2">
        <v>69.696968078613281</v>
      </c>
      <c r="AA75" s="2">
        <v>68.513992309570313</v>
      </c>
      <c r="AB75" s="2">
        <v>99.421966552734375</v>
      </c>
      <c r="AC75" s="46" t="str">
        <f t="shared" si="38"/>
        <v>NRA*</v>
      </c>
      <c r="AD75" s="2">
        <v>35.249042510986328</v>
      </c>
      <c r="AE75" s="2">
        <v>38.556022644042969</v>
      </c>
      <c r="AF75" s="2"/>
      <c r="AG75" s="4">
        <f t="shared" si="39"/>
        <v>262</v>
      </c>
      <c r="AH75" s="4" t="str" cm="1">
        <f t="array" ref="AH75">IF(AG75="NR**","NR**",INDEX(trust_indicator_data!$A$2:$BE$127,(ROW()-ROW(trust_indicator_data!$A$1:$BE$1)),MATCH(selected_indic_name_adj,trust_indicator_data!$A$1:$BE$1,0)))</f>
        <v>NRA*</v>
      </c>
      <c r="AI75" s="4" t="str">
        <f>IF(AG75="NR**","NR**",IF(AH75="NRA*","NRA*",RANK(AH75,AH:AH,1)+COUNTIF($AH$2:AH75,AH75)-1))</f>
        <v>NRA*</v>
      </c>
      <c r="AJ75" s="4" cm="1">
        <f t="array" ref="AJ75">IF(AG75="NR**","NR**",INDEX(trust_indicator_data!$A$2:$BE$127,(ROW()-ROW(trust_indicator_data!$A$1:$BE$1)),MATCH(selected_indic_name_unadj,trust_indicator_data!$A$1:$BE$1,0)))</f>
        <v>47.346939086914063</v>
      </c>
      <c r="AK75" s="4">
        <f>IF(AG75="NR**","NR**",RANK(trust_indicator_data!AJ75,AJ:AJ,1)+COUNTIF($AJ$2:AJ75,AJ75)-1)</f>
        <v>50</v>
      </c>
      <c r="AM75" s="4" cm="1">
        <f t="array" ref="AM75">IF(AQ75&lt;10,0,INDEX(trust_indicator_data!$A$2:$BE$127,(ROW()-ROW(trust_indicator_data!$A$1:$BE$1)),MATCH(selected_indic_name_unadj,trust_indicator_data!$A$1:$BE$1,0)))</f>
        <v>47.346939086914063</v>
      </c>
      <c r="AN75" s="4">
        <f t="shared" si="40"/>
        <v>50</v>
      </c>
      <c r="AP75" s="4">
        <f>RANK(trust_indicator_data!$AQ75,AQ:AQ,1)+COUNTIF($AQ$2:AQ75,AQ75)-1</f>
        <v>73</v>
      </c>
      <c r="AQ75" s="4" cm="1">
        <f t="array" ref="AQ75">INDEX(trust_indicator_data!$A$2:$BE$127,(ROW()-ROW(trust_indicator_data!$A$1:$BE$1)),MATCH(selected_indic_denom,trust_indicator_data!$A$1:$BE$1,0))</f>
        <v>262</v>
      </c>
      <c r="AR75" s="4" cm="1">
        <f t="array" ref="AR75">INDEX(trust_indicator_data!$A$2:$BE$127,(ROW()-ROW(trust_indicator_data!$A$1:$BE$1)),MATCH(selected_indic_name_unadj,trust_indicator_data!$A$1:$BE$1,0))/100</f>
        <v>0.47346939086914064</v>
      </c>
      <c r="AS75" s="4">
        <f>IF(AQ75&lt;10,NA(),trust_indicator_data!$AR75)</f>
        <v>0.47346939086914064</v>
      </c>
      <c r="AU75" s="4">
        <f>INDEX(table_national_indic,MATCH($AU$1,national_indicator_data!$A$1:$A$17,0),MATCH(selected_indic_name_unadj,national_indicator_data!$A$1:$R$1,0))</f>
        <v>0.47675243377685544</v>
      </c>
      <c r="AV75" s="4">
        <f>INDEX(table_national_indic,MATCH($AV$1,national_indicator_data!$A$1:$A$7,0),MATCH(selected_indic_name_unadj,national_indicator_data!$A$1:$R$1,0))</f>
        <v>0.76214221292766271</v>
      </c>
      <c r="AW75" s="4">
        <f t="shared" si="29"/>
        <v>0.70036200660614112</v>
      </c>
      <c r="AX75" s="4">
        <f t="shared" si="30"/>
        <v>0.8239224192491843</v>
      </c>
      <c r="AY75" s="4">
        <f t="shared" si="31"/>
        <v>0.66947190344538043</v>
      </c>
      <c r="AZ75" s="4">
        <f t="shared" si="32"/>
        <v>0.85481252240994499</v>
      </c>
      <c r="BA75" s="4">
        <f>INDEX(table_national_indic,MATCH($BA$1,national_indicator_data!$A$1:$A$7,0),MATCH(selected_indic_name_unadj,national_indicator_data!$A$1:$R$1,0))</f>
        <v>0</v>
      </c>
      <c r="BB75" s="4">
        <f t="shared" si="33"/>
        <v>0.4153731901049747</v>
      </c>
      <c r="BC75" s="4">
        <f t="shared" si="41"/>
        <v>0.53848615079552553</v>
      </c>
      <c r="BD75" s="4">
        <f t="shared" si="42"/>
        <v>0.38510956615485087</v>
      </c>
      <c r="BE75" s="4">
        <f t="shared" si="43"/>
        <v>0.56919159852100609</v>
      </c>
      <c r="BG75">
        <f t="shared" si="44"/>
        <v>74</v>
      </c>
      <c r="BH75">
        <f t="shared" si="34"/>
        <v>264</v>
      </c>
      <c r="BI75" s="42">
        <f t="shared" si="45"/>
        <v>0.46351932525634765</v>
      </c>
      <c r="BJ75" s="42">
        <f t="shared" si="46"/>
        <v>0.41560427755596879</v>
      </c>
      <c r="BK75" s="42">
        <f t="shared" si="47"/>
        <v>0.5382523813319271</v>
      </c>
      <c r="BL75" s="42">
        <f t="shared" si="48"/>
        <v>0.3854518753785745</v>
      </c>
      <c r="BM75" s="42">
        <f t="shared" si="49"/>
        <v>0.5688432738912329</v>
      </c>
      <c r="BN75" s="42">
        <f t="shared" si="50"/>
        <v>0.47675243377685544</v>
      </c>
    </row>
    <row r="76" spans="1:66" x14ac:dyDescent="0.25">
      <c r="A76" t="s">
        <v>93</v>
      </c>
      <c r="B76" t="s">
        <v>92</v>
      </c>
      <c r="C76" t="s">
        <v>63</v>
      </c>
      <c r="D76" t="s">
        <v>61</v>
      </c>
      <c r="E76" s="2">
        <v>115</v>
      </c>
      <c r="F76" s="2">
        <v>100</v>
      </c>
      <c r="G76" s="2">
        <v>14</v>
      </c>
      <c r="H76" s="2">
        <v>22</v>
      </c>
      <c r="I76" s="2">
        <v>22</v>
      </c>
      <c r="J76" s="2">
        <v>36</v>
      </c>
      <c r="K76" s="2">
        <v>8</v>
      </c>
      <c r="L76" s="2">
        <v>54.368930816650391</v>
      </c>
      <c r="M76" s="46" t="str">
        <f t="shared" si="35"/>
        <v>NRA*</v>
      </c>
      <c r="N76" s="2">
        <v>71.962615966796875</v>
      </c>
      <c r="O76" s="46" t="str">
        <f t="shared" si="36"/>
        <v>NRA*</v>
      </c>
      <c r="P76" s="2">
        <v>81.818183898925781</v>
      </c>
      <c r="Q76" s="46" t="str">
        <f t="shared" si="37"/>
        <v>NRA*</v>
      </c>
      <c r="R76" s="2">
        <v>15</v>
      </c>
      <c r="S76" s="2">
        <v>14.871955871582031</v>
      </c>
      <c r="T76" s="2">
        <v>71.428573608398438</v>
      </c>
      <c r="U76" s="4">
        <v>78.224029541015625</v>
      </c>
      <c r="V76" s="2">
        <v>81.818183898925781</v>
      </c>
      <c r="W76" s="2">
        <v>80.220283508300781</v>
      </c>
      <c r="X76" s="2"/>
      <c r="Y76" s="2"/>
      <c r="Z76" s="2">
        <v>69.444442749023438</v>
      </c>
      <c r="AA76" s="2">
        <v>70.51263427734375</v>
      </c>
      <c r="AB76" s="2">
        <v>100</v>
      </c>
      <c r="AC76" s="46" t="str">
        <f t="shared" si="38"/>
        <v>NRA*</v>
      </c>
      <c r="AD76" s="2">
        <v>38.596492767333984</v>
      </c>
      <c r="AE76" s="2">
        <v>40.554901123046875</v>
      </c>
      <c r="AF76" s="2"/>
      <c r="AG76" s="34">
        <f t="shared" si="39"/>
        <v>115</v>
      </c>
      <c r="AH76" s="34" t="str" cm="1">
        <f t="array" ref="AH76">IF(AG76="NR**","NR**",INDEX(trust_indicator_data!$A$2:$BE$127,(ROW()-ROW(trust_indicator_data!$A$1:$BE$1)),MATCH(selected_indic_name_adj,trust_indicator_data!$A$1:$BE$1,0)))</f>
        <v>NRA*</v>
      </c>
      <c r="AI76" s="34" t="str">
        <f>IF(AG76="NR**","NR**",IF(AH76="NRA*","NRA*",RANK(AH76,AH:AH,1)+COUNTIF($AH$2:AH76,AH76)-1))</f>
        <v>NRA*</v>
      </c>
      <c r="AJ76" s="34" cm="1">
        <f t="array" ref="AJ76">IF(AG76="NR**","NR**",INDEX(trust_indicator_data!$A$2:$BE$127,(ROW()-ROW(trust_indicator_data!$A$1:$BE$1)),MATCH(selected_indic_name_unadj,trust_indicator_data!$A$1:$BE$1,0)))</f>
        <v>54.368930816650391</v>
      </c>
      <c r="AK76" s="34">
        <f>IF(AG76="NR**","NR**",RANK(trust_indicator_data!AJ76,AJ:AJ,1)+COUNTIF($AJ$2:AJ76,AJ76)-1)</f>
        <v>100</v>
      </c>
      <c r="AM76" s="34" cm="1">
        <f t="array" ref="AM76">IF(AQ76&lt;10,0,INDEX(trust_indicator_data!$A$2:$BE$127,(ROW()-ROW(trust_indicator_data!$A$1:$BE$1)),MATCH(selected_indic_name_unadj,trust_indicator_data!$A$1:$BE$1,0)))</f>
        <v>54.368930816650391</v>
      </c>
      <c r="AN76" s="34">
        <f t="shared" si="40"/>
        <v>100</v>
      </c>
      <c r="AP76" s="34">
        <f>RANK(trust_indicator_data!$AQ76,AQ:AQ,1)+COUNTIF($AQ$2:AQ76,AQ76)-1</f>
        <v>14</v>
      </c>
      <c r="AQ76" s="34" cm="1">
        <f t="array" ref="AQ76">INDEX(trust_indicator_data!$A$2:$BE$127,(ROW()-ROW(trust_indicator_data!$A$1:$BE$1)),MATCH(selected_indic_denom,trust_indicator_data!$A$1:$BE$1,0))</f>
        <v>115</v>
      </c>
      <c r="AR76" s="34" cm="1">
        <f t="array" ref="AR76">INDEX(trust_indicator_data!$A$2:$BE$127,(ROW()-ROW(trust_indicator_data!$A$1:$BE$1)),MATCH(selected_indic_name_unadj,trust_indicator_data!$A$1:$BE$1,0))/100</f>
        <v>0.54368930816650396</v>
      </c>
      <c r="AS76" s="34">
        <f>IF(AQ76&lt;10,NA(),trust_indicator_data!$AR76)</f>
        <v>0.54368930816650396</v>
      </c>
      <c r="AU76" s="34">
        <f>INDEX(table_national_indic,MATCH($AU$1,national_indicator_data!$A$1:$A$17,0),MATCH(selected_indic_name_unadj,national_indicator_data!$A$1:$R$1,0))</f>
        <v>0.47675243377685544</v>
      </c>
      <c r="AV76" s="34">
        <f>INDEX(table_national_indic,MATCH($AV$1,national_indicator_data!$A$1:$A$7,0),MATCH(selected_indic_name_unadj,national_indicator_data!$A$1:$R$1,0))</f>
        <v>0.76214221292766271</v>
      </c>
      <c r="AW76" s="34">
        <f t="shared" si="29"/>
        <v>0.66889173210363129</v>
      </c>
      <c r="AX76" s="34">
        <f t="shared" si="30"/>
        <v>0.85539269375169413</v>
      </c>
      <c r="AY76" s="34">
        <f t="shared" si="31"/>
        <v>0.62226649169161563</v>
      </c>
      <c r="AZ76" s="34">
        <f t="shared" si="32"/>
        <v>0.90201793416370979</v>
      </c>
      <c r="BA76" s="34">
        <f>INDEX(table_national_indic,MATCH($BA$1,national_indicator_data!$A$1:$A$7,0),MATCH(selected_indic_name_unadj,national_indicator_data!$A$1:$R$1,0))</f>
        <v>0</v>
      </c>
      <c r="BB76" s="34">
        <f t="shared" si="33"/>
        <v>0.38454499628131722</v>
      </c>
      <c r="BC76" s="34">
        <f t="shared" si="41"/>
        <v>0.56976614118722435</v>
      </c>
      <c r="BD76" s="34">
        <f t="shared" si="42"/>
        <v>0.33974713048695221</v>
      </c>
      <c r="BE76" s="34">
        <f t="shared" si="43"/>
        <v>0.61556527723739585</v>
      </c>
      <c r="BG76">
        <f t="shared" si="44"/>
        <v>75</v>
      </c>
      <c r="BH76">
        <f t="shared" si="34"/>
        <v>264</v>
      </c>
      <c r="BI76" s="42">
        <f t="shared" si="45"/>
        <v>0.43032787322998045</v>
      </c>
      <c r="BJ76" s="42">
        <f t="shared" si="46"/>
        <v>0.41560427755596879</v>
      </c>
      <c r="BK76" s="42">
        <f t="shared" si="47"/>
        <v>0.5382523813319271</v>
      </c>
      <c r="BL76" s="42">
        <f t="shared" si="48"/>
        <v>0.3854518753785745</v>
      </c>
      <c r="BM76" s="42">
        <f t="shared" si="49"/>
        <v>0.5688432738912329</v>
      </c>
      <c r="BN76" s="42">
        <f t="shared" si="50"/>
        <v>0.47675243377685544</v>
      </c>
    </row>
    <row r="77" spans="1:66" x14ac:dyDescent="0.25">
      <c r="A77" t="s">
        <v>138</v>
      </c>
      <c r="B77" t="s">
        <v>137</v>
      </c>
      <c r="C77" t="s">
        <v>54</v>
      </c>
      <c r="D77" t="s">
        <v>52</v>
      </c>
      <c r="E77" s="2">
        <v>211</v>
      </c>
      <c r="F77" s="2">
        <v>195</v>
      </c>
      <c r="G77" s="2">
        <v>13</v>
      </c>
      <c r="H77" s="2">
        <v>29</v>
      </c>
      <c r="I77" s="2">
        <v>33</v>
      </c>
      <c r="J77" s="2">
        <v>59</v>
      </c>
      <c r="K77" s="2">
        <v>20</v>
      </c>
      <c r="L77" s="2">
        <v>54.594593048095703</v>
      </c>
      <c r="M77" s="46" t="str">
        <f t="shared" si="35"/>
        <v>NRA*</v>
      </c>
      <c r="N77" s="2">
        <v>62.105262756347656</v>
      </c>
      <c r="O77" s="46" t="str">
        <f t="shared" si="36"/>
        <v>NRA*</v>
      </c>
      <c r="P77" s="2">
        <v>82.758621215820313</v>
      </c>
      <c r="Q77" s="46" t="str">
        <f t="shared" si="37"/>
        <v>NRA*</v>
      </c>
      <c r="R77" s="2">
        <v>10.769230842590332</v>
      </c>
      <c r="S77" s="2">
        <v>11.638559341430664</v>
      </c>
      <c r="T77" s="2">
        <v>46.153846740722656</v>
      </c>
      <c r="U77" s="4">
        <v>53.39324951171875</v>
      </c>
      <c r="V77" s="2">
        <v>81.818183898925781</v>
      </c>
      <c r="W77" s="2">
        <v>79.690696716308594</v>
      </c>
      <c r="X77" s="2">
        <v>55</v>
      </c>
      <c r="Y77" s="2">
        <v>48.803634643554688</v>
      </c>
      <c r="Z77" s="2">
        <v>69.491523742675781</v>
      </c>
      <c r="AA77" s="2">
        <v>72.43463134765625</v>
      </c>
      <c r="AB77" s="2">
        <v>97.297294616699219</v>
      </c>
      <c r="AC77" s="46" t="str">
        <f t="shared" si="38"/>
        <v>NRA*</v>
      </c>
      <c r="AD77" s="2">
        <v>25.247524261474609</v>
      </c>
      <c r="AE77" s="2">
        <v>24.927360534667969</v>
      </c>
      <c r="AF77" s="2"/>
      <c r="AG77" s="4">
        <f t="shared" si="39"/>
        <v>211</v>
      </c>
      <c r="AH77" s="4" t="str" cm="1">
        <f t="array" ref="AH77">IF(AG77="NR**","NR**",INDEX(trust_indicator_data!$A$2:$BE$127,(ROW()-ROW(trust_indicator_data!$A$1:$BE$1)),MATCH(selected_indic_name_adj,trust_indicator_data!$A$1:$BE$1,0)))</f>
        <v>NRA*</v>
      </c>
      <c r="AI77" s="4" t="str">
        <f>IF(AG77="NR**","NR**",IF(AH77="NRA*","NRA*",RANK(AH77,AH:AH,1)+COUNTIF($AH$2:AH77,AH77)-1))</f>
        <v>NRA*</v>
      </c>
      <c r="AJ77" s="4" cm="1">
        <f t="array" ref="AJ77">IF(AG77="NR**","NR**",INDEX(trust_indicator_data!$A$2:$BE$127,(ROW()-ROW(trust_indicator_data!$A$1:$BE$1)),MATCH(selected_indic_name_unadj,trust_indicator_data!$A$1:$BE$1,0)))</f>
        <v>54.594593048095703</v>
      </c>
      <c r="AK77" s="4">
        <f>IF(AG77="NR**","NR**",RANK(trust_indicator_data!AJ77,AJ:AJ,1)+COUNTIF($AJ$2:AJ77,AJ77)-1)</f>
        <v>103</v>
      </c>
      <c r="AM77" s="4" cm="1">
        <f t="array" ref="AM77">IF(AQ77&lt;10,0,INDEX(trust_indicator_data!$A$2:$BE$127,(ROW()-ROW(trust_indicator_data!$A$1:$BE$1)),MATCH(selected_indic_name_unadj,trust_indicator_data!$A$1:$BE$1,0)))</f>
        <v>54.594593048095703</v>
      </c>
      <c r="AN77" s="4">
        <f t="shared" si="40"/>
        <v>103</v>
      </c>
      <c r="AP77" s="4">
        <f>RANK(trust_indicator_data!$AQ77,AQ:AQ,1)+COUNTIF($AQ$2:AQ77,AQ77)-1</f>
        <v>48</v>
      </c>
      <c r="AQ77" s="4" cm="1">
        <f t="array" ref="AQ77">INDEX(trust_indicator_data!$A$2:$BE$127,(ROW()-ROW(trust_indicator_data!$A$1:$BE$1)),MATCH(selected_indic_denom,trust_indicator_data!$A$1:$BE$1,0))</f>
        <v>211</v>
      </c>
      <c r="AR77" s="4" cm="1">
        <f t="array" ref="AR77">INDEX(trust_indicator_data!$A$2:$BE$127,(ROW()-ROW(trust_indicator_data!$A$1:$BE$1)),MATCH(selected_indic_name_unadj,trust_indicator_data!$A$1:$BE$1,0))/100</f>
        <v>0.54594593048095708</v>
      </c>
      <c r="AS77" s="4">
        <f>IF(AQ77&lt;10,NA(),trust_indicator_data!$AR77)</f>
        <v>0.54594593048095708</v>
      </c>
      <c r="AU77" s="4">
        <f>INDEX(table_national_indic,MATCH($AU$1,national_indicator_data!$A$1:$A$17,0),MATCH(selected_indic_name_unadj,national_indicator_data!$A$1:$R$1,0))</f>
        <v>0.47675243377685544</v>
      </c>
      <c r="AV77" s="4">
        <f>INDEX(table_national_indic,MATCH($AV$1,national_indicator_data!$A$1:$A$7,0),MATCH(selected_indic_name_unadj,national_indicator_data!$A$1:$R$1,0))</f>
        <v>0.76214221292766271</v>
      </c>
      <c r="AW77" s="4">
        <f t="shared" si="29"/>
        <v>0.69329937384551132</v>
      </c>
      <c r="AX77" s="4">
        <f t="shared" si="30"/>
        <v>0.8309850520098141</v>
      </c>
      <c r="AY77" s="4">
        <f t="shared" si="31"/>
        <v>0.65887795430443563</v>
      </c>
      <c r="AZ77" s="4">
        <f t="shared" si="32"/>
        <v>0.86540647155088979</v>
      </c>
      <c r="BA77" s="4">
        <f>INDEX(table_national_indic,MATCH($BA$1,national_indicator_data!$A$1:$A$7,0),MATCH(selected_indic_name_unadj,national_indicator_data!$A$1:$R$1,0))</f>
        <v>0</v>
      </c>
      <c r="BB77" s="4">
        <f t="shared" si="33"/>
        <v>0.40842112709703116</v>
      </c>
      <c r="BC77" s="4">
        <f t="shared" si="41"/>
        <v>0.54552375682463972</v>
      </c>
      <c r="BD77" s="4">
        <f t="shared" si="42"/>
        <v>0.37482564492721754</v>
      </c>
      <c r="BE77" s="4">
        <f t="shared" si="43"/>
        <v>0.57966730533187749</v>
      </c>
      <c r="BG77">
        <f t="shared" si="44"/>
        <v>76</v>
      </c>
      <c r="BH77">
        <f t="shared" si="34"/>
        <v>266</v>
      </c>
      <c r="BI77" s="42">
        <f t="shared" si="45"/>
        <v>0.49065422058105468</v>
      </c>
      <c r="BJ77" s="42">
        <f t="shared" si="46"/>
        <v>0.41583277207820429</v>
      </c>
      <c r="BK77" s="42">
        <f t="shared" si="47"/>
        <v>0.53802124507751214</v>
      </c>
      <c r="BL77" s="42">
        <f t="shared" si="48"/>
        <v>0.38579037239449399</v>
      </c>
      <c r="BM77" s="42">
        <f t="shared" si="49"/>
        <v>0.56849885167086189</v>
      </c>
      <c r="BN77" s="42">
        <f t="shared" si="50"/>
        <v>0.47675243377685544</v>
      </c>
    </row>
    <row r="78" spans="1:66" x14ac:dyDescent="0.25">
      <c r="A78" t="s">
        <v>218</v>
      </c>
      <c r="B78" t="s">
        <v>217</v>
      </c>
      <c r="C78" t="s">
        <v>30</v>
      </c>
      <c r="D78" t="s">
        <v>28</v>
      </c>
      <c r="E78" s="2">
        <v>792</v>
      </c>
      <c r="F78" s="2">
        <v>728</v>
      </c>
      <c r="G78" s="2">
        <v>54</v>
      </c>
      <c r="H78" s="2">
        <v>106</v>
      </c>
      <c r="I78" s="2">
        <v>163</v>
      </c>
      <c r="J78" s="2">
        <v>120</v>
      </c>
      <c r="K78" s="2">
        <v>61</v>
      </c>
      <c r="L78" s="2">
        <v>46.551723480224609</v>
      </c>
      <c r="M78" s="46" t="str">
        <f t="shared" si="35"/>
        <v>NRA*</v>
      </c>
      <c r="N78" s="2">
        <v>40.158519744873047</v>
      </c>
      <c r="O78" s="46" t="str">
        <f t="shared" si="36"/>
        <v>NRA*</v>
      </c>
      <c r="P78" s="2">
        <v>77.358489990234375</v>
      </c>
      <c r="Q78" s="46" t="str">
        <f t="shared" si="37"/>
        <v>NRA*</v>
      </c>
      <c r="R78" s="2">
        <v>9.3406591415405273</v>
      </c>
      <c r="S78" s="2">
        <v>11.28352165222168</v>
      </c>
      <c r="T78" s="2">
        <v>79.629631042480469</v>
      </c>
      <c r="U78" s="4">
        <v>78.797615051269531</v>
      </c>
      <c r="V78" s="2">
        <v>79.141105651855469</v>
      </c>
      <c r="W78" s="2">
        <v>82.090576171875</v>
      </c>
      <c r="X78" s="2">
        <v>80.327865600585938</v>
      </c>
      <c r="Y78" s="2">
        <v>79.566581726074219</v>
      </c>
      <c r="Z78" s="2">
        <v>56.666667938232422</v>
      </c>
      <c r="AA78" s="2">
        <v>57.488243103027344</v>
      </c>
      <c r="AB78" s="2">
        <v>97.669906616210938</v>
      </c>
      <c r="AC78" s="46" t="str">
        <f t="shared" si="38"/>
        <v>NRA*</v>
      </c>
      <c r="AD78" s="2">
        <v>35.832275390625</v>
      </c>
      <c r="AE78" s="2">
        <v>31.105049133300781</v>
      </c>
      <c r="AF78" s="2"/>
      <c r="AG78" s="34">
        <f t="shared" si="39"/>
        <v>792</v>
      </c>
      <c r="AH78" s="34" t="str" cm="1">
        <f t="array" ref="AH78">IF(AG78="NR**","NR**",INDEX(trust_indicator_data!$A$2:$BE$127,(ROW()-ROW(trust_indicator_data!$A$1:$BE$1)),MATCH(selected_indic_name_adj,trust_indicator_data!$A$1:$BE$1,0)))</f>
        <v>NRA*</v>
      </c>
      <c r="AI78" s="34" t="str">
        <f>IF(AG78="NR**","NR**",IF(AH78="NRA*","NRA*",RANK(AH78,AH:AH,1)+COUNTIF($AH$2:AH78,AH78)-1))</f>
        <v>NRA*</v>
      </c>
      <c r="AJ78" s="34" cm="1">
        <f t="array" ref="AJ78">IF(AG78="NR**","NR**",INDEX(trust_indicator_data!$A$2:$BE$127,(ROW()-ROW(trust_indicator_data!$A$1:$BE$1)),MATCH(selected_indic_name_unadj,trust_indicator_data!$A$1:$BE$1,0)))</f>
        <v>46.551723480224609</v>
      </c>
      <c r="AK78" s="34">
        <f>IF(AG78="NR**","NR**",RANK(trust_indicator_data!AJ78,AJ:AJ,1)+COUNTIF($AJ$2:AJ78,AJ78)-1)</f>
        <v>45</v>
      </c>
      <c r="AM78" s="34" cm="1">
        <f t="array" ref="AM78">IF(AQ78&lt;10,0,INDEX(trust_indicator_data!$A$2:$BE$127,(ROW()-ROW(trust_indicator_data!$A$1:$BE$1)),MATCH(selected_indic_name_unadj,trust_indicator_data!$A$1:$BE$1,0)))</f>
        <v>46.551723480224609</v>
      </c>
      <c r="AN78" s="34">
        <f t="shared" si="40"/>
        <v>45</v>
      </c>
      <c r="AP78" s="34">
        <f>RANK(trust_indicator_data!$AQ78,AQ:AQ,1)+COUNTIF($AQ$2:AQ78,AQ78)-1</f>
        <v>126</v>
      </c>
      <c r="AQ78" s="34" cm="1">
        <f t="array" ref="AQ78">INDEX(trust_indicator_data!$A$2:$BE$127,(ROW()-ROW(trust_indicator_data!$A$1:$BE$1)),MATCH(selected_indic_denom,trust_indicator_data!$A$1:$BE$1,0))</f>
        <v>792</v>
      </c>
      <c r="AR78" s="34" cm="1">
        <f t="array" ref="AR78">INDEX(trust_indicator_data!$A$2:$BE$127,(ROW()-ROW(trust_indicator_data!$A$1:$BE$1)),MATCH(selected_indic_name_unadj,trust_indicator_data!$A$1:$BE$1,0))/100</f>
        <v>0.4655172348022461</v>
      </c>
      <c r="AS78" s="34">
        <f>IF(AQ78&lt;10,NA(),trust_indicator_data!$AR78)</f>
        <v>0.4655172348022461</v>
      </c>
      <c r="AU78" s="34">
        <f>INDEX(table_national_indic,MATCH($AU$1,national_indicator_data!$A$1:$A$17,0),MATCH(selected_indic_name_unadj,national_indicator_data!$A$1:$R$1,0))</f>
        <v>0.47675243377685544</v>
      </c>
      <c r="AV78" s="34">
        <f>INDEX(table_national_indic,MATCH($AV$1,national_indicator_data!$A$1:$A$7,0),MATCH(selected_indic_name_unadj,national_indicator_data!$A$1:$R$1,0))</f>
        <v>0.76214221292766271</v>
      </c>
      <c r="AW78" s="34">
        <f t="shared" si="29"/>
        <v>0.7266087602017276</v>
      </c>
      <c r="AX78" s="34">
        <f t="shared" si="30"/>
        <v>0.79767566565359782</v>
      </c>
      <c r="AY78" s="34">
        <f t="shared" si="31"/>
        <v>0.7088420338387601</v>
      </c>
      <c r="AZ78" s="34">
        <f t="shared" si="32"/>
        <v>0.81544239201656532</v>
      </c>
      <c r="BA78" s="34">
        <f>INDEX(table_national_indic,MATCH($BA$1,national_indicator_data!$A$1:$A$7,0),MATCH(selected_indic_name_unadj,national_indicator_data!$A$1:$R$1,0))</f>
        <v>0</v>
      </c>
      <c r="BB78" s="34">
        <f t="shared" si="33"/>
        <v>0.44134596158657896</v>
      </c>
      <c r="BC78" s="34">
        <f t="shared" si="41"/>
        <v>0.51227626851026808</v>
      </c>
      <c r="BD78" s="34">
        <f t="shared" si="42"/>
        <v>0.42374264221599484</v>
      </c>
      <c r="BE78" s="34">
        <f t="shared" si="43"/>
        <v>0.53002615215384807</v>
      </c>
      <c r="BG78">
        <f t="shared" si="44"/>
        <v>77</v>
      </c>
      <c r="BH78">
        <f t="shared" si="34"/>
        <v>268</v>
      </c>
      <c r="BI78" s="42">
        <f t="shared" si="45"/>
        <v>0.2994923782348633</v>
      </c>
      <c r="BJ78" s="42">
        <f t="shared" si="46"/>
        <v>0.41605872181845766</v>
      </c>
      <c r="BK78" s="42">
        <f t="shared" si="47"/>
        <v>0.53779269298482713</v>
      </c>
      <c r="BL78" s="42">
        <f t="shared" si="48"/>
        <v>0.38612512746997024</v>
      </c>
      <c r="BM78" s="42">
        <f t="shared" si="49"/>
        <v>0.56815825957876775</v>
      </c>
      <c r="BN78" s="42">
        <f t="shared" si="50"/>
        <v>0.47675243377685544</v>
      </c>
    </row>
    <row r="79" spans="1:66" x14ac:dyDescent="0.25">
      <c r="A79" t="s">
        <v>238</v>
      </c>
      <c r="B79" t="s">
        <v>237</v>
      </c>
      <c r="C79" t="s">
        <v>54</v>
      </c>
      <c r="D79" t="s">
        <v>52</v>
      </c>
      <c r="E79" s="2">
        <v>127</v>
      </c>
      <c r="F79" s="2">
        <v>118</v>
      </c>
      <c r="G79" s="2">
        <v>4</v>
      </c>
      <c r="H79" s="2">
        <v>33</v>
      </c>
      <c r="I79" s="2">
        <v>35</v>
      </c>
      <c r="J79" s="2">
        <v>34</v>
      </c>
      <c r="K79" s="2">
        <v>4</v>
      </c>
      <c r="L79" s="2">
        <v>49.579830169677734</v>
      </c>
      <c r="M79" s="46" t="str">
        <f t="shared" si="35"/>
        <v>NRA*</v>
      </c>
      <c r="N79" s="2">
        <v>64.166664123535156</v>
      </c>
      <c r="O79" s="46" t="str">
        <f t="shared" si="36"/>
        <v>NRA*</v>
      </c>
      <c r="P79" s="2">
        <v>75.757575988769531</v>
      </c>
      <c r="Q79" s="46" t="str">
        <f t="shared" si="37"/>
        <v>NRA*</v>
      </c>
      <c r="R79" s="2">
        <v>25.423728942871094</v>
      </c>
      <c r="S79" s="2">
        <v>23.315248489379883</v>
      </c>
      <c r="T79" s="2"/>
      <c r="V79" s="2">
        <v>80</v>
      </c>
      <c r="W79" s="2">
        <v>81.285194396972656</v>
      </c>
      <c r="X79" s="2"/>
      <c r="Y79" s="2"/>
      <c r="Z79" s="2">
        <v>64.705879211425781</v>
      </c>
      <c r="AA79" s="2">
        <v>64.268241882324219</v>
      </c>
      <c r="AB79" s="2">
        <v>94.252876281738281</v>
      </c>
      <c r="AC79" s="46" t="str">
        <f t="shared" si="38"/>
        <v>NRA*</v>
      </c>
      <c r="AD79" s="2">
        <v>34.126983642578125</v>
      </c>
      <c r="AE79" s="2">
        <v>37.226467132568359</v>
      </c>
      <c r="AF79" s="2"/>
      <c r="AG79" s="4">
        <f t="shared" si="39"/>
        <v>127</v>
      </c>
      <c r="AH79" s="4" t="str" cm="1">
        <f t="array" ref="AH79">IF(AG79="NR**","NR**",INDEX(trust_indicator_data!$A$2:$BE$127,(ROW()-ROW(trust_indicator_data!$A$1:$BE$1)),MATCH(selected_indic_name_adj,trust_indicator_data!$A$1:$BE$1,0)))</f>
        <v>NRA*</v>
      </c>
      <c r="AI79" s="4" t="str">
        <f>IF(AG79="NR**","NR**",IF(AH79="NRA*","NRA*",RANK(AH79,AH:AH,1)+COUNTIF($AH$2:AH79,AH79)-1))</f>
        <v>NRA*</v>
      </c>
      <c r="AJ79" s="4" cm="1">
        <f t="array" ref="AJ79">IF(AG79="NR**","NR**",INDEX(trust_indicator_data!$A$2:$BE$127,(ROW()-ROW(trust_indicator_data!$A$1:$BE$1)),MATCH(selected_indic_name_unadj,trust_indicator_data!$A$1:$BE$1,0)))</f>
        <v>49.579830169677734</v>
      </c>
      <c r="AK79" s="4">
        <f>IF(AG79="NR**","NR**",RANK(trust_indicator_data!AJ79,AJ:AJ,1)+COUNTIF($AJ$2:AJ79,AJ79)-1)</f>
        <v>66</v>
      </c>
      <c r="AM79" s="4" cm="1">
        <f t="array" ref="AM79">IF(AQ79&lt;10,0,INDEX(trust_indicator_data!$A$2:$BE$127,(ROW()-ROW(trust_indicator_data!$A$1:$BE$1)),MATCH(selected_indic_name_unadj,trust_indicator_data!$A$1:$BE$1,0)))</f>
        <v>49.579830169677734</v>
      </c>
      <c r="AN79" s="4">
        <f t="shared" si="40"/>
        <v>66</v>
      </c>
      <c r="AP79" s="4">
        <f>RANK(trust_indicator_data!$AQ79,AQ:AQ,1)+COUNTIF($AQ$2:AQ79,AQ79)-1</f>
        <v>19</v>
      </c>
      <c r="AQ79" s="4" cm="1">
        <f t="array" ref="AQ79">INDEX(trust_indicator_data!$A$2:$BE$127,(ROW()-ROW(trust_indicator_data!$A$1:$BE$1)),MATCH(selected_indic_denom,trust_indicator_data!$A$1:$BE$1,0))</f>
        <v>127</v>
      </c>
      <c r="AR79" s="4" cm="1">
        <f t="array" ref="AR79">INDEX(trust_indicator_data!$A$2:$BE$127,(ROW()-ROW(trust_indicator_data!$A$1:$BE$1)),MATCH(selected_indic_name_unadj,trust_indicator_data!$A$1:$BE$1,0))/100</f>
        <v>0.49579830169677735</v>
      </c>
      <c r="AS79" s="4">
        <f>IF(AQ79&lt;10,NA(),trust_indicator_data!$AR79)</f>
        <v>0.49579830169677735</v>
      </c>
      <c r="AU79" s="4">
        <f>INDEX(table_national_indic,MATCH($AU$1,national_indicator_data!$A$1:$A$17,0),MATCH(selected_indic_name_unadj,national_indicator_data!$A$1:$R$1,0))</f>
        <v>0.47675243377685544</v>
      </c>
      <c r="AV79" s="4">
        <f>INDEX(table_national_indic,MATCH($AV$1,national_indicator_data!$A$1:$A$7,0),MATCH(selected_indic_name_unadj,national_indicator_data!$A$1:$R$1,0))</f>
        <v>0.76214221292766271</v>
      </c>
      <c r="AW79" s="4">
        <f t="shared" si="29"/>
        <v>0.67340656198605131</v>
      </c>
      <c r="AX79" s="4">
        <f t="shared" si="30"/>
        <v>0.85087786386927411</v>
      </c>
      <c r="AY79" s="4">
        <f t="shared" si="31"/>
        <v>0.62903873651524567</v>
      </c>
      <c r="AZ79" s="4">
        <f t="shared" si="32"/>
        <v>0.89524568934007975</v>
      </c>
      <c r="BA79" s="4">
        <f>INDEX(table_national_indic,MATCH($BA$1,national_indicator_data!$A$1:$A$7,0),MATCH(selected_indic_name_unadj,national_indicator_data!$A$1:$R$1,0))</f>
        <v>0</v>
      </c>
      <c r="BB79" s="4">
        <f t="shared" si="33"/>
        <v>0.38894246046304543</v>
      </c>
      <c r="BC79" s="4">
        <f t="shared" si="41"/>
        <v>0.56529269411469785</v>
      </c>
      <c r="BD79" s="4">
        <f t="shared" si="42"/>
        <v>0.34617661927822518</v>
      </c>
      <c r="BE79" s="4">
        <f t="shared" si="43"/>
        <v>0.60896600742558982</v>
      </c>
      <c r="BG79">
        <f t="shared" si="44"/>
        <v>78</v>
      </c>
      <c r="BH79">
        <f t="shared" si="34"/>
        <v>275</v>
      </c>
      <c r="BI79" s="42">
        <f t="shared" si="45"/>
        <v>0.61660079956054692</v>
      </c>
      <c r="BJ79" s="42">
        <f t="shared" si="46"/>
        <v>0.41683017219269924</v>
      </c>
      <c r="BK79" s="42">
        <f t="shared" si="47"/>
        <v>0.5370124321030324</v>
      </c>
      <c r="BL79" s="42">
        <f t="shared" si="48"/>
        <v>0.38726827538501318</v>
      </c>
      <c r="BM79" s="42">
        <f t="shared" si="49"/>
        <v>0.56699534888164826</v>
      </c>
      <c r="BN79" s="42">
        <f t="shared" si="50"/>
        <v>0.47675243377685544</v>
      </c>
    </row>
    <row r="80" spans="1:66" x14ac:dyDescent="0.25">
      <c r="A80" t="s">
        <v>316</v>
      </c>
      <c r="B80" t="s">
        <v>315</v>
      </c>
      <c r="C80" t="s">
        <v>74</v>
      </c>
      <c r="D80" t="s">
        <v>72</v>
      </c>
      <c r="E80" s="2">
        <v>213</v>
      </c>
      <c r="F80" s="2">
        <v>192</v>
      </c>
      <c r="G80" s="2">
        <v>20</v>
      </c>
      <c r="H80" s="2">
        <v>17</v>
      </c>
      <c r="I80" s="2">
        <v>23</v>
      </c>
      <c r="J80" s="2">
        <v>46</v>
      </c>
      <c r="K80" s="2">
        <v>4</v>
      </c>
      <c r="L80" s="2">
        <v>53.793102264404297</v>
      </c>
      <c r="M80" s="46" t="str">
        <f t="shared" si="35"/>
        <v>NRA*</v>
      </c>
      <c r="N80" s="2">
        <v>56.284152984619141</v>
      </c>
      <c r="O80" s="46" t="str">
        <f t="shared" si="36"/>
        <v>NRA*</v>
      </c>
      <c r="P80" s="2">
        <v>76.470588684082031</v>
      </c>
      <c r="Q80" s="46" t="str">
        <f t="shared" si="37"/>
        <v>NRA*</v>
      </c>
      <c r="R80" s="2">
        <v>8.3333330154418945</v>
      </c>
      <c r="S80" s="2">
        <v>13.667974472045898</v>
      </c>
      <c r="T80" s="2">
        <v>55</v>
      </c>
      <c r="U80" s="4">
        <v>49.819820404052734</v>
      </c>
      <c r="V80" s="2">
        <v>69.565216064453125</v>
      </c>
      <c r="W80" s="2">
        <v>71.691429138183594</v>
      </c>
      <c r="X80" s="2"/>
      <c r="Y80" s="2"/>
      <c r="Z80" s="2">
        <v>36.956520080566406</v>
      </c>
      <c r="AA80" s="2">
        <v>38.622226715087891</v>
      </c>
      <c r="AB80" s="2">
        <v>99.145301818847656</v>
      </c>
      <c r="AC80" s="46" t="str">
        <f t="shared" si="38"/>
        <v>NRA*</v>
      </c>
      <c r="AD80" s="2">
        <v>47.393363952636719</v>
      </c>
      <c r="AE80" s="2">
        <v>43.276676177978516</v>
      </c>
      <c r="AF80" s="2"/>
      <c r="AG80" s="34">
        <f t="shared" si="39"/>
        <v>213</v>
      </c>
      <c r="AH80" s="34" t="str" cm="1">
        <f t="array" ref="AH80">IF(AG80="NR**","NR**",INDEX(trust_indicator_data!$A$2:$BE$127,(ROW()-ROW(trust_indicator_data!$A$1:$BE$1)),MATCH(selected_indic_name_adj,trust_indicator_data!$A$1:$BE$1,0)))</f>
        <v>NRA*</v>
      </c>
      <c r="AI80" s="34" t="str">
        <f>IF(AG80="NR**","NR**",IF(AH80="NRA*","NRA*",RANK(AH80,AH:AH,1)+COUNTIF($AH$2:AH80,AH80)-1))</f>
        <v>NRA*</v>
      </c>
      <c r="AJ80" s="34" cm="1">
        <f t="array" ref="AJ80">IF(AG80="NR**","NR**",INDEX(trust_indicator_data!$A$2:$BE$127,(ROW()-ROW(trust_indicator_data!$A$1:$BE$1)),MATCH(selected_indic_name_unadj,trust_indicator_data!$A$1:$BE$1,0)))</f>
        <v>53.793102264404297</v>
      </c>
      <c r="AK80" s="34">
        <f>IF(AG80="NR**","NR**",RANK(trust_indicator_data!AJ80,AJ:AJ,1)+COUNTIF($AJ$2:AJ80,AJ80)-1)</f>
        <v>96</v>
      </c>
      <c r="AM80" s="34" cm="1">
        <f t="array" ref="AM80">IF(AQ80&lt;10,0,INDEX(trust_indicator_data!$A$2:$BE$127,(ROW()-ROW(trust_indicator_data!$A$1:$BE$1)),MATCH(selected_indic_name_unadj,trust_indicator_data!$A$1:$BE$1,0)))</f>
        <v>53.793102264404297</v>
      </c>
      <c r="AN80" s="34">
        <f t="shared" si="40"/>
        <v>96</v>
      </c>
      <c r="AP80" s="34">
        <f>RANK(trust_indicator_data!$AQ80,AQ:AQ,1)+COUNTIF($AQ$2:AQ80,AQ80)-1</f>
        <v>49</v>
      </c>
      <c r="AQ80" s="34" cm="1">
        <f t="array" ref="AQ80">INDEX(trust_indicator_data!$A$2:$BE$127,(ROW()-ROW(trust_indicator_data!$A$1:$BE$1)),MATCH(selected_indic_denom,trust_indicator_data!$A$1:$BE$1,0))</f>
        <v>213</v>
      </c>
      <c r="AR80" s="34" cm="1">
        <f t="array" ref="AR80">INDEX(trust_indicator_data!$A$2:$BE$127,(ROW()-ROW(trust_indicator_data!$A$1:$BE$1)),MATCH(selected_indic_name_unadj,trust_indicator_data!$A$1:$BE$1,0))/100</f>
        <v>0.53793102264404302</v>
      </c>
      <c r="AS80" s="34">
        <f>IF(AQ80&lt;10,NA(),trust_indicator_data!$AR80)</f>
        <v>0.53793102264404302</v>
      </c>
      <c r="AU80" s="34">
        <f>INDEX(table_national_indic,MATCH($AU$1,national_indicator_data!$A$1:$A$17,0),MATCH(selected_indic_name_unadj,national_indicator_data!$A$1:$R$1,0))</f>
        <v>0.47675243377685544</v>
      </c>
      <c r="AV80" s="34">
        <f>INDEX(table_national_indic,MATCH($AV$1,national_indicator_data!$A$1:$A$7,0),MATCH(selected_indic_name_unadj,national_indicator_data!$A$1:$R$1,0))</f>
        <v>0.76214221292766271</v>
      </c>
      <c r="AW80" s="34">
        <f t="shared" si="29"/>
        <v>0.6936233419449096</v>
      </c>
      <c r="AX80" s="34">
        <f t="shared" si="30"/>
        <v>0.83066108391041582</v>
      </c>
      <c r="AY80" s="34">
        <f t="shared" si="31"/>
        <v>0.65936390645353293</v>
      </c>
      <c r="AZ80" s="34">
        <f t="shared" si="32"/>
        <v>0.86492051940179249</v>
      </c>
      <c r="BA80" s="34">
        <f>INDEX(table_national_indic,MATCH($BA$1,national_indicator_data!$A$1:$A$7,0),MATCH(selected_indic_name_unadj,national_indicator_data!$A$1:$R$1,0))</f>
        <v>0</v>
      </c>
      <c r="BB80" s="34">
        <f t="shared" si="33"/>
        <v>0.40873963400306518</v>
      </c>
      <c r="BC80" s="34">
        <f t="shared" si="41"/>
        <v>0.54520112477734095</v>
      </c>
      <c r="BD80" s="34">
        <f t="shared" si="42"/>
        <v>0.3752961813319739</v>
      </c>
      <c r="BE80" s="34">
        <f t="shared" si="43"/>
        <v>0.57918752384713468</v>
      </c>
      <c r="BG80">
        <f t="shared" si="44"/>
        <v>79</v>
      </c>
      <c r="BH80">
        <f t="shared" si="34"/>
        <v>278</v>
      </c>
      <c r="BI80" s="42">
        <f t="shared" si="45"/>
        <v>0.42528736114501953</v>
      </c>
      <c r="BJ80" s="42">
        <f t="shared" si="46"/>
        <v>0.41715189919096646</v>
      </c>
      <c r="BK80" s="42">
        <f t="shared" si="47"/>
        <v>0.53668706483482009</v>
      </c>
      <c r="BL80" s="42">
        <f t="shared" si="48"/>
        <v>0.38774511030914538</v>
      </c>
      <c r="BM80" s="42">
        <f t="shared" si="49"/>
        <v>0.56651034803774014</v>
      </c>
      <c r="BN80" s="42">
        <f t="shared" si="50"/>
        <v>0.47675243377685544</v>
      </c>
    </row>
    <row r="81" spans="1:66" x14ac:dyDescent="0.25">
      <c r="A81" t="s">
        <v>176</v>
      </c>
      <c r="B81" t="s">
        <v>175</v>
      </c>
      <c r="C81" t="s">
        <v>60</v>
      </c>
      <c r="D81" t="s">
        <v>58</v>
      </c>
      <c r="E81" s="2">
        <v>415</v>
      </c>
      <c r="F81" s="2">
        <v>378</v>
      </c>
      <c r="G81" s="2">
        <v>35</v>
      </c>
      <c r="H81" s="2">
        <v>83</v>
      </c>
      <c r="I81" s="2">
        <v>88</v>
      </c>
      <c r="J81" s="2">
        <v>71</v>
      </c>
      <c r="K81" s="2">
        <v>23</v>
      </c>
      <c r="L81" s="2">
        <v>48.724491119384766</v>
      </c>
      <c r="M81" s="46" t="str">
        <f t="shared" si="35"/>
        <v>NRA*</v>
      </c>
      <c r="N81" s="2">
        <v>50.505050659179688</v>
      </c>
      <c r="O81" s="46" t="str">
        <f t="shared" si="36"/>
        <v>NRA*</v>
      </c>
      <c r="P81" s="2">
        <v>86.746986389160156</v>
      </c>
      <c r="Q81" s="46" t="str">
        <f t="shared" si="37"/>
        <v>NRA*</v>
      </c>
      <c r="R81" s="2">
        <v>19.047618865966797</v>
      </c>
      <c r="S81" s="2">
        <v>17.857536315917969</v>
      </c>
      <c r="T81" s="2">
        <v>80</v>
      </c>
      <c r="U81" s="4">
        <v>71.104011535644531</v>
      </c>
      <c r="V81" s="2">
        <v>85.227272033691406</v>
      </c>
      <c r="W81" s="2">
        <v>80.800910949707031</v>
      </c>
      <c r="X81" s="2">
        <v>39.130435943603516</v>
      </c>
      <c r="Y81" s="2">
        <v>33.906044006347656</v>
      </c>
      <c r="Z81" s="2">
        <v>66.197181701660156</v>
      </c>
      <c r="AA81" s="2">
        <v>64.472488403320313</v>
      </c>
      <c r="AB81" s="2">
        <v>79.865768432617188</v>
      </c>
      <c r="AC81" s="46" t="str">
        <f t="shared" si="38"/>
        <v>NRA*</v>
      </c>
      <c r="AD81" s="2">
        <v>47.290641784667969</v>
      </c>
      <c r="AE81" s="2">
        <v>42.89306640625</v>
      </c>
      <c r="AF81" s="2"/>
      <c r="AG81" s="4">
        <f t="shared" si="39"/>
        <v>415</v>
      </c>
      <c r="AH81" s="4" t="str" cm="1">
        <f t="array" ref="AH81">IF(AG81="NR**","NR**",INDEX(trust_indicator_data!$A$2:$BE$127,(ROW()-ROW(trust_indicator_data!$A$1:$BE$1)),MATCH(selected_indic_name_adj,trust_indicator_data!$A$1:$BE$1,0)))</f>
        <v>NRA*</v>
      </c>
      <c r="AI81" s="4" t="str">
        <f>IF(AG81="NR**","NR**",IF(AH81="NRA*","NRA*",RANK(AH81,AH:AH,1)+COUNTIF($AH$2:AH81,AH81)-1))</f>
        <v>NRA*</v>
      </c>
      <c r="AJ81" s="4" cm="1">
        <f t="array" ref="AJ81">IF(AG81="NR**","NR**",INDEX(trust_indicator_data!$A$2:$BE$127,(ROW()-ROW(trust_indicator_data!$A$1:$BE$1)),MATCH(selected_indic_name_unadj,trust_indicator_data!$A$1:$BE$1,0)))</f>
        <v>48.724491119384766</v>
      </c>
      <c r="AK81" s="4">
        <f>IF(AG81="NR**","NR**",RANK(trust_indicator_data!AJ81,AJ:AJ,1)+COUNTIF($AJ$2:AJ81,AJ81)-1)</f>
        <v>57</v>
      </c>
      <c r="AM81" s="4" cm="1">
        <f t="array" ref="AM81">IF(AQ81&lt;10,0,INDEX(trust_indicator_data!$A$2:$BE$127,(ROW()-ROW(trust_indicator_data!$A$1:$BE$1)),MATCH(selected_indic_name_unadj,trust_indicator_data!$A$1:$BE$1,0)))</f>
        <v>48.724491119384766</v>
      </c>
      <c r="AN81" s="4">
        <f t="shared" si="40"/>
        <v>57</v>
      </c>
      <c r="AP81" s="4">
        <f>RANK(trust_indicator_data!$AQ81,AQ:AQ,1)+COUNTIF($AQ$2:AQ81,AQ81)-1</f>
        <v>109</v>
      </c>
      <c r="AQ81" s="4" cm="1">
        <f t="array" ref="AQ81">INDEX(trust_indicator_data!$A$2:$BE$127,(ROW()-ROW(trust_indicator_data!$A$1:$BE$1)),MATCH(selected_indic_denom,trust_indicator_data!$A$1:$BE$1,0))</f>
        <v>415</v>
      </c>
      <c r="AR81" s="4" cm="1">
        <f t="array" ref="AR81">INDEX(trust_indicator_data!$A$2:$BE$127,(ROW()-ROW(trust_indicator_data!$A$1:$BE$1)),MATCH(selected_indic_name_unadj,trust_indicator_data!$A$1:$BE$1,0))/100</f>
        <v>0.48724491119384766</v>
      </c>
      <c r="AS81" s="4">
        <f>IF(AQ81&lt;10,NA(),trust_indicator_data!$AR81)</f>
        <v>0.48724491119384766</v>
      </c>
      <c r="AU81" s="4">
        <f>INDEX(table_national_indic,MATCH($AU$1,national_indicator_data!$A$1:$A$17,0),MATCH(selected_indic_name_unadj,national_indicator_data!$A$1:$R$1,0))</f>
        <v>0.47675243377685544</v>
      </c>
      <c r="AV81" s="4">
        <f>INDEX(table_national_indic,MATCH($AV$1,national_indicator_data!$A$1:$A$7,0),MATCH(selected_indic_name_unadj,national_indicator_data!$A$1:$R$1,0))</f>
        <v>0.76214221292766271</v>
      </c>
      <c r="AW81" s="4">
        <f t="shared" si="29"/>
        <v>0.71305414356028107</v>
      </c>
      <c r="AX81" s="4">
        <f t="shared" si="30"/>
        <v>0.81123028229504435</v>
      </c>
      <c r="AY81" s="4">
        <f t="shared" si="31"/>
        <v>0.68851010887659037</v>
      </c>
      <c r="AZ81" s="4">
        <f t="shared" si="32"/>
        <v>0.83577431697873505</v>
      </c>
      <c r="BA81" s="4">
        <f>INDEX(table_national_indic,MATCH($BA$1,national_indicator_data!$A$1:$A$7,0),MATCH(selected_indic_name_unadj,national_indicator_data!$A$1:$R$1,0))</f>
        <v>0</v>
      </c>
      <c r="BB81" s="4">
        <f t="shared" si="33"/>
        <v>0.42790813195002891</v>
      </c>
      <c r="BC81" s="4">
        <f t="shared" si="41"/>
        <v>0.52582062861069334</v>
      </c>
      <c r="BD81" s="4">
        <f t="shared" si="42"/>
        <v>0.40371715261626889</v>
      </c>
      <c r="BE81" s="4">
        <f t="shared" si="43"/>
        <v>0.55029096854269333</v>
      </c>
      <c r="BG81">
        <f t="shared" si="44"/>
        <v>80</v>
      </c>
      <c r="BH81">
        <f t="shared" si="34"/>
        <v>279</v>
      </c>
      <c r="BI81" s="42">
        <f t="shared" si="45"/>
        <v>0.55185184478759763</v>
      </c>
      <c r="BJ81" s="42">
        <f t="shared" si="46"/>
        <v>0.41725799438898675</v>
      </c>
      <c r="BK81" s="42">
        <f t="shared" si="47"/>
        <v>0.53657977358942999</v>
      </c>
      <c r="BL81" s="42">
        <f t="shared" si="48"/>
        <v>0.38790236723052768</v>
      </c>
      <c r="BM81" s="42">
        <f t="shared" si="49"/>
        <v>0.56635040806267101</v>
      </c>
      <c r="BN81" s="42">
        <f t="shared" si="50"/>
        <v>0.47675243377685544</v>
      </c>
    </row>
    <row r="82" spans="1:66" x14ac:dyDescent="0.25">
      <c r="A82" t="s">
        <v>202</v>
      </c>
      <c r="B82" t="s">
        <v>201</v>
      </c>
      <c r="C82" t="s">
        <v>21</v>
      </c>
      <c r="D82" t="s">
        <v>19</v>
      </c>
      <c r="E82" s="2">
        <v>252</v>
      </c>
      <c r="F82" s="2">
        <v>231</v>
      </c>
      <c r="G82" s="2">
        <v>19</v>
      </c>
      <c r="H82" s="2">
        <v>33</v>
      </c>
      <c r="I82" s="2">
        <v>41</v>
      </c>
      <c r="J82" s="2">
        <v>43</v>
      </c>
      <c r="K82" s="2">
        <v>18</v>
      </c>
      <c r="L82" s="2">
        <v>58.536586761474609</v>
      </c>
      <c r="M82" s="46" t="str">
        <f t="shared" si="35"/>
        <v>NRA*</v>
      </c>
      <c r="N82" s="2">
        <v>47.465438842773438</v>
      </c>
      <c r="O82" s="46" t="str">
        <f t="shared" si="36"/>
        <v>NRA*</v>
      </c>
      <c r="P82" s="2">
        <v>87.8787841796875</v>
      </c>
      <c r="Q82" s="46" t="str">
        <f t="shared" si="37"/>
        <v>NRA*</v>
      </c>
      <c r="R82" s="2">
        <v>11.688311576843262</v>
      </c>
      <c r="S82" s="2">
        <v>13.618178367614746</v>
      </c>
      <c r="T82" s="2">
        <v>78.947364807128906</v>
      </c>
      <c r="U82" s="4">
        <v>84.765693664550781</v>
      </c>
      <c r="V82" s="2">
        <v>90.243904113769531</v>
      </c>
      <c r="W82" s="2">
        <v>86.813873291015625</v>
      </c>
      <c r="X82" s="2">
        <v>83.333335876464844</v>
      </c>
      <c r="Y82" s="2">
        <v>69.727333068847656</v>
      </c>
      <c r="Z82" s="2">
        <v>76.744186401367188</v>
      </c>
      <c r="AA82" s="2">
        <v>68.842819213867188</v>
      </c>
      <c r="AB82" s="2">
        <v>82.530120849609375</v>
      </c>
      <c r="AC82" s="46" t="str">
        <f t="shared" si="38"/>
        <v>NRA*</v>
      </c>
      <c r="AD82" s="2">
        <v>44.129554748535156</v>
      </c>
      <c r="AE82" s="2">
        <v>36.204395294189453</v>
      </c>
      <c r="AF82" s="2"/>
      <c r="AG82" s="34">
        <f t="shared" si="39"/>
        <v>252</v>
      </c>
      <c r="AH82" s="34" t="str" cm="1">
        <f t="array" ref="AH82">IF(AG82="NR**","NR**",INDEX(trust_indicator_data!$A$2:$BE$127,(ROW()-ROW(trust_indicator_data!$A$1:$BE$1)),MATCH(selected_indic_name_adj,trust_indicator_data!$A$1:$BE$1,0)))</f>
        <v>NRA*</v>
      </c>
      <c r="AI82" s="34" t="str">
        <f>IF(AG82="NR**","NR**",IF(AH82="NRA*","NRA*",RANK(AH82,AH:AH,1)+COUNTIF($AH$2:AH82,AH82)-1))</f>
        <v>NRA*</v>
      </c>
      <c r="AJ82" s="34" cm="1">
        <f t="array" ref="AJ82">IF(AG82="NR**","NR**",INDEX(trust_indicator_data!$A$2:$BE$127,(ROW()-ROW(trust_indicator_data!$A$1:$BE$1)),MATCH(selected_indic_name_unadj,trust_indicator_data!$A$1:$BE$1,0)))</f>
        <v>58.536586761474609</v>
      </c>
      <c r="AK82" s="34">
        <f>IF(AG82="NR**","NR**",RANK(trust_indicator_data!AJ82,AJ:AJ,1)+COUNTIF($AJ$2:AJ82,AJ82)-1)</f>
        <v>114</v>
      </c>
      <c r="AM82" s="34" cm="1">
        <f t="array" ref="AM82">IF(AQ82&lt;10,0,INDEX(trust_indicator_data!$A$2:$BE$127,(ROW()-ROW(trust_indicator_data!$A$1:$BE$1)),MATCH(selected_indic_name_unadj,trust_indicator_data!$A$1:$BE$1,0)))</f>
        <v>58.536586761474609</v>
      </c>
      <c r="AN82" s="34">
        <f t="shared" si="40"/>
        <v>114</v>
      </c>
      <c r="AP82" s="34">
        <f>RANK(trust_indicator_data!$AQ82,AQ:AQ,1)+COUNTIF($AQ$2:AQ82,AQ82)-1</f>
        <v>69</v>
      </c>
      <c r="AQ82" s="34" cm="1">
        <f t="array" ref="AQ82">INDEX(trust_indicator_data!$A$2:$BE$127,(ROW()-ROW(trust_indicator_data!$A$1:$BE$1)),MATCH(selected_indic_denom,trust_indicator_data!$A$1:$BE$1,0))</f>
        <v>252</v>
      </c>
      <c r="AR82" s="34" cm="1">
        <f t="array" ref="AR82">INDEX(trust_indicator_data!$A$2:$BE$127,(ROW()-ROW(trust_indicator_data!$A$1:$BE$1)),MATCH(selected_indic_name_unadj,trust_indicator_data!$A$1:$BE$1,0))/100</f>
        <v>0.58536586761474607</v>
      </c>
      <c r="AS82" s="34">
        <f>IF(AQ82&lt;10,NA(),trust_indicator_data!$AR82)</f>
        <v>0.58536586761474607</v>
      </c>
      <c r="AU82" s="34">
        <f>INDEX(table_national_indic,MATCH($AU$1,national_indicator_data!$A$1:$A$17,0),MATCH(selected_indic_name_unadj,national_indicator_data!$A$1:$R$1,0))</f>
        <v>0.47675243377685544</v>
      </c>
      <c r="AV82" s="34">
        <f>INDEX(table_national_indic,MATCH($AV$1,national_indicator_data!$A$1:$A$7,0),MATCH(selected_indic_name_unadj,national_indicator_data!$A$1:$R$1,0))</f>
        <v>0.76214221292766271</v>
      </c>
      <c r="AW82" s="34">
        <f t="shared" si="29"/>
        <v>0.69914813409279153</v>
      </c>
      <c r="AX82" s="34">
        <f t="shared" si="30"/>
        <v>0.82513629176253389</v>
      </c>
      <c r="AY82" s="34">
        <f t="shared" si="31"/>
        <v>0.66765109467535588</v>
      </c>
      <c r="AZ82" s="34">
        <f t="shared" si="32"/>
        <v>0.85663333117996954</v>
      </c>
      <c r="BA82" s="34">
        <f>INDEX(table_national_indic,MATCH($BA$1,national_indicator_data!$A$1:$A$7,0),MATCH(selected_indic_name_unadj,national_indicator_data!$A$1:$R$1,0))</f>
        <v>0</v>
      </c>
      <c r="BB82" s="34">
        <f t="shared" si="33"/>
        <v>0.4141770812687226</v>
      </c>
      <c r="BC82" s="34">
        <f t="shared" si="41"/>
        <v>0.53969630742371522</v>
      </c>
      <c r="BD82" s="34">
        <f t="shared" si="42"/>
        <v>0.3833382435914634</v>
      </c>
      <c r="BE82" s="34">
        <f t="shared" si="43"/>
        <v>0.57099442608201612</v>
      </c>
      <c r="BG82">
        <f t="shared" si="44"/>
        <v>81</v>
      </c>
      <c r="BH82">
        <f t="shared" si="34"/>
        <v>280</v>
      </c>
      <c r="BI82" s="42">
        <f t="shared" si="45"/>
        <v>0.44890510559082031</v>
      </c>
      <c r="BJ82" s="42">
        <f t="shared" si="46"/>
        <v>0.41736352451091813</v>
      </c>
      <c r="BK82" s="42">
        <f t="shared" si="47"/>
        <v>0.5364730559531441</v>
      </c>
      <c r="BL82" s="42">
        <f t="shared" si="48"/>
        <v>0.38805879253271569</v>
      </c>
      <c r="BM82" s="42">
        <f t="shared" si="49"/>
        <v>0.56619131882002027</v>
      </c>
      <c r="BN82" s="42">
        <f t="shared" si="50"/>
        <v>0.47675243377685544</v>
      </c>
    </row>
    <row r="83" spans="1:66" x14ac:dyDescent="0.25">
      <c r="A83" t="s">
        <v>328</v>
      </c>
      <c r="B83" t="s">
        <v>327</v>
      </c>
      <c r="C83" t="s">
        <v>74</v>
      </c>
      <c r="D83" t="s">
        <v>72</v>
      </c>
      <c r="E83" s="2">
        <v>236</v>
      </c>
      <c r="F83" s="2">
        <v>208</v>
      </c>
      <c r="G83" s="2">
        <v>27</v>
      </c>
      <c r="H83" s="2">
        <v>34</v>
      </c>
      <c r="I83" s="2">
        <v>43</v>
      </c>
      <c r="J83" s="2">
        <v>67</v>
      </c>
      <c r="K83" s="2">
        <v>14</v>
      </c>
      <c r="L83" s="2">
        <v>49.029125213623047</v>
      </c>
      <c r="M83" s="46" t="str">
        <f t="shared" si="35"/>
        <v>NRA*</v>
      </c>
      <c r="N83" s="2">
        <v>59.482757568359375</v>
      </c>
      <c r="O83" s="46" t="str">
        <f t="shared" si="36"/>
        <v>NRA*</v>
      </c>
      <c r="P83" s="2">
        <v>79.411766052246094</v>
      </c>
      <c r="Q83" s="46" t="str">
        <f t="shared" si="37"/>
        <v>NRA*</v>
      </c>
      <c r="R83" s="2">
        <v>15.384614944458008</v>
      </c>
      <c r="S83" s="2">
        <v>16.054542541503906</v>
      </c>
      <c r="T83" s="2">
        <v>77.777778625488281</v>
      </c>
      <c r="U83" s="4">
        <v>72.246437072753906</v>
      </c>
      <c r="V83" s="2">
        <v>65.116279602050781</v>
      </c>
      <c r="W83" s="2">
        <v>64.206474304199219</v>
      </c>
      <c r="X83" s="2">
        <v>42.857143402099609</v>
      </c>
      <c r="Y83" s="2">
        <v>44.505210876464844</v>
      </c>
      <c r="Z83" s="2">
        <v>56.716419219970703</v>
      </c>
      <c r="AA83" s="2">
        <v>56.636459350585938</v>
      </c>
      <c r="AB83" s="2">
        <v>92.26190185546875</v>
      </c>
      <c r="AC83" s="46" t="str">
        <f t="shared" si="38"/>
        <v>NRA*</v>
      </c>
      <c r="AD83" s="2">
        <v>32.627117156982422</v>
      </c>
      <c r="AE83" s="2">
        <v>32.694236755371094</v>
      </c>
      <c r="AF83" s="2"/>
      <c r="AG83" s="4">
        <f t="shared" si="39"/>
        <v>236</v>
      </c>
      <c r="AH83" s="4" t="str" cm="1">
        <f t="array" ref="AH83">IF(AG83="NR**","NR**",INDEX(trust_indicator_data!$A$2:$BE$127,(ROW()-ROW(trust_indicator_data!$A$1:$BE$1)),MATCH(selected_indic_name_adj,trust_indicator_data!$A$1:$BE$1,0)))</f>
        <v>NRA*</v>
      </c>
      <c r="AI83" s="4" t="str">
        <f>IF(AG83="NR**","NR**",IF(AH83="NRA*","NRA*",RANK(AH83,AH:AH,1)+COUNTIF($AH$2:AH83,AH83)-1))</f>
        <v>NRA*</v>
      </c>
      <c r="AJ83" s="4" cm="1">
        <f t="array" ref="AJ83">IF(AG83="NR**","NR**",INDEX(trust_indicator_data!$A$2:$BE$127,(ROW()-ROW(trust_indicator_data!$A$1:$BE$1)),MATCH(selected_indic_name_unadj,trust_indicator_data!$A$1:$BE$1,0)))</f>
        <v>49.029125213623047</v>
      </c>
      <c r="AK83" s="4">
        <f>IF(AG83="NR**","NR**",RANK(trust_indicator_data!AJ83,AJ:AJ,1)+COUNTIF($AJ$2:AJ83,AJ83)-1)</f>
        <v>60</v>
      </c>
      <c r="AM83" s="4" cm="1">
        <f t="array" ref="AM83">IF(AQ83&lt;10,0,INDEX(trust_indicator_data!$A$2:$BE$127,(ROW()-ROW(trust_indicator_data!$A$1:$BE$1)),MATCH(selected_indic_name_unadj,trust_indicator_data!$A$1:$BE$1,0)))</f>
        <v>49.029125213623047</v>
      </c>
      <c r="AN83" s="4">
        <f t="shared" si="40"/>
        <v>60</v>
      </c>
      <c r="AP83" s="4">
        <f>RANK(trust_indicator_data!$AQ83,AQ:AQ,1)+COUNTIF($AQ$2:AQ83,AQ83)-1</f>
        <v>62</v>
      </c>
      <c r="AQ83" s="4" cm="1">
        <f t="array" ref="AQ83">INDEX(trust_indicator_data!$A$2:$BE$127,(ROW()-ROW(trust_indicator_data!$A$1:$BE$1)),MATCH(selected_indic_denom,trust_indicator_data!$A$1:$BE$1,0))</f>
        <v>236</v>
      </c>
      <c r="AR83" s="4" cm="1">
        <f t="array" ref="AR83">INDEX(trust_indicator_data!$A$2:$BE$127,(ROW()-ROW(trust_indicator_data!$A$1:$BE$1)),MATCH(selected_indic_name_unadj,trust_indicator_data!$A$1:$BE$1,0))/100</f>
        <v>0.49029125213623048</v>
      </c>
      <c r="AS83" s="4">
        <f>IF(AQ83&lt;10,NA(),trust_indicator_data!$AR83)</f>
        <v>0.49029125213623048</v>
      </c>
      <c r="AU83" s="4">
        <f>INDEX(table_national_indic,MATCH($AU$1,national_indicator_data!$A$1:$A$17,0),MATCH(selected_indic_name_unadj,national_indicator_data!$A$1:$R$1,0))</f>
        <v>0.47675243377685544</v>
      </c>
      <c r="AV83" s="4">
        <f>INDEX(table_national_indic,MATCH($AV$1,national_indicator_data!$A$1:$A$7,0),MATCH(selected_indic_name_unadj,national_indicator_data!$A$1:$R$1,0))</f>
        <v>0.76214221292766271</v>
      </c>
      <c r="AW83" s="4">
        <f t="shared" si="29"/>
        <v>0.69704775743725078</v>
      </c>
      <c r="AX83" s="4">
        <f t="shared" si="30"/>
        <v>0.82723666841807464</v>
      </c>
      <c r="AY83" s="4">
        <f t="shared" si="31"/>
        <v>0.66450052969204476</v>
      </c>
      <c r="AZ83" s="4">
        <f t="shared" si="32"/>
        <v>0.85978389616328066</v>
      </c>
      <c r="BA83" s="4">
        <f>INDEX(table_national_indic,MATCH($BA$1,national_indicator_data!$A$1:$A$7,0),MATCH(selected_indic_name_unadj,national_indicator_data!$A$1:$R$1,0))</f>
        <v>0</v>
      </c>
      <c r="BB83" s="4">
        <f t="shared" si="33"/>
        <v>0.41210864020237925</v>
      </c>
      <c r="BC83" s="4">
        <f t="shared" si="41"/>
        <v>0.54178969767714802</v>
      </c>
      <c r="BD83" s="4">
        <f t="shared" si="42"/>
        <v>0.38027697307717645</v>
      </c>
      <c r="BE83" s="4">
        <f t="shared" si="43"/>
        <v>0.57411164032769235</v>
      </c>
      <c r="BG83">
        <f t="shared" si="44"/>
        <v>82</v>
      </c>
      <c r="BH83">
        <f t="shared" si="34"/>
        <v>286</v>
      </c>
      <c r="BI83" s="42">
        <f t="shared" si="45"/>
        <v>0.52346569061279302</v>
      </c>
      <c r="BJ83" s="42">
        <f t="shared" si="46"/>
        <v>0.41798511438100944</v>
      </c>
      <c r="BK83" s="42">
        <f t="shared" si="47"/>
        <v>0.53584451518369702</v>
      </c>
      <c r="BL83" s="42">
        <f t="shared" si="48"/>
        <v>0.38898028334547058</v>
      </c>
      <c r="BM83" s="42">
        <f t="shared" si="49"/>
        <v>0.56525423454439871</v>
      </c>
      <c r="BN83" s="42">
        <f t="shared" si="50"/>
        <v>0.47675243377685544</v>
      </c>
    </row>
    <row r="84" spans="1:66" x14ac:dyDescent="0.25">
      <c r="A84" t="s">
        <v>170</v>
      </c>
      <c r="B84" t="s">
        <v>169</v>
      </c>
      <c r="C84" t="s">
        <v>54</v>
      </c>
      <c r="D84" t="s">
        <v>52</v>
      </c>
      <c r="E84" s="2">
        <v>225</v>
      </c>
      <c r="F84" s="2">
        <v>202</v>
      </c>
      <c r="G84" s="2">
        <v>17</v>
      </c>
      <c r="H84" s="2">
        <v>25</v>
      </c>
      <c r="I84" s="2">
        <v>32</v>
      </c>
      <c r="J84" s="2">
        <v>50</v>
      </c>
      <c r="K84" s="2">
        <v>23</v>
      </c>
      <c r="L84" s="2">
        <v>51.834861755371094</v>
      </c>
      <c r="M84" s="46" t="str">
        <f t="shared" si="35"/>
        <v>NRA*</v>
      </c>
      <c r="N84" s="2">
        <v>48.181819915771484</v>
      </c>
      <c r="O84" s="46" t="str">
        <f t="shared" si="36"/>
        <v>NRA*</v>
      </c>
      <c r="P84" s="2">
        <v>56</v>
      </c>
      <c r="Q84" s="46" t="str">
        <f t="shared" si="37"/>
        <v>NRA*</v>
      </c>
      <c r="R84" s="2">
        <v>12.376237869262695</v>
      </c>
      <c r="S84" s="2">
        <v>16.297109603881836</v>
      </c>
      <c r="T84" s="2">
        <v>70.588233947753906</v>
      </c>
      <c r="U84" s="4">
        <v>76.01678466796875</v>
      </c>
      <c r="V84" s="2">
        <v>71.875</v>
      </c>
      <c r="W84" s="2">
        <v>77.460441589355469</v>
      </c>
      <c r="X84" s="2">
        <v>60.869564056396484</v>
      </c>
      <c r="Y84" s="2">
        <v>64.589744567871094</v>
      </c>
      <c r="Z84" s="2">
        <v>54</v>
      </c>
      <c r="AA84" s="2">
        <v>51.290142059326172</v>
      </c>
      <c r="AB84" s="2">
        <v>86.7088623046875</v>
      </c>
      <c r="AC84" s="46" t="str">
        <f t="shared" si="38"/>
        <v>NRA*</v>
      </c>
      <c r="AD84" s="2">
        <v>40.758293151855469</v>
      </c>
      <c r="AE84" s="2">
        <v>39.037448883056641</v>
      </c>
      <c r="AF84" s="2"/>
      <c r="AG84" s="34">
        <f t="shared" si="39"/>
        <v>225</v>
      </c>
      <c r="AH84" s="34" t="str" cm="1">
        <f t="array" ref="AH84">IF(AG84="NR**","NR**",INDEX(trust_indicator_data!$A$2:$BE$127,(ROW()-ROW(trust_indicator_data!$A$1:$BE$1)),MATCH(selected_indic_name_adj,trust_indicator_data!$A$1:$BE$1,0)))</f>
        <v>NRA*</v>
      </c>
      <c r="AI84" s="34" t="str">
        <f>IF(AG84="NR**","NR**",IF(AH84="NRA*","NRA*",RANK(AH84,AH:AH,1)+COUNTIF($AH$2:AH84,AH84)-1))</f>
        <v>NRA*</v>
      </c>
      <c r="AJ84" s="34" cm="1">
        <f t="array" ref="AJ84">IF(AG84="NR**","NR**",INDEX(trust_indicator_data!$A$2:$BE$127,(ROW()-ROW(trust_indicator_data!$A$1:$BE$1)),MATCH(selected_indic_name_unadj,trust_indicator_data!$A$1:$BE$1,0)))</f>
        <v>51.834861755371094</v>
      </c>
      <c r="AK84" s="34">
        <f>IF(AG84="NR**","NR**",RANK(trust_indicator_data!AJ84,AJ:AJ,1)+COUNTIF($AJ$2:AJ84,AJ84)-1)</f>
        <v>80</v>
      </c>
      <c r="AM84" s="34" cm="1">
        <f t="array" ref="AM84">IF(AQ84&lt;10,0,INDEX(trust_indicator_data!$A$2:$BE$127,(ROW()-ROW(trust_indicator_data!$A$1:$BE$1)),MATCH(selected_indic_name_unadj,trust_indicator_data!$A$1:$BE$1,0)))</f>
        <v>51.834861755371094</v>
      </c>
      <c r="AN84" s="34">
        <f t="shared" si="40"/>
        <v>80</v>
      </c>
      <c r="AP84" s="34">
        <f>RANK(trust_indicator_data!$AQ84,AQ:AQ,1)+COUNTIF($AQ$2:AQ84,AQ84)-1</f>
        <v>57</v>
      </c>
      <c r="AQ84" s="34" cm="1">
        <f t="array" ref="AQ84">INDEX(trust_indicator_data!$A$2:$BE$127,(ROW()-ROW(trust_indicator_data!$A$1:$BE$1)),MATCH(selected_indic_denom,trust_indicator_data!$A$1:$BE$1,0))</f>
        <v>225</v>
      </c>
      <c r="AR84" s="34" cm="1">
        <f t="array" ref="AR84">INDEX(trust_indicator_data!$A$2:$BE$127,(ROW()-ROW(trust_indicator_data!$A$1:$BE$1)),MATCH(selected_indic_name_unadj,trust_indicator_data!$A$1:$BE$1,0))/100</f>
        <v>0.51834861755371098</v>
      </c>
      <c r="AS84" s="34">
        <f>IF(AQ84&lt;10,NA(),trust_indicator_data!$AR84)</f>
        <v>0.51834861755371098</v>
      </c>
      <c r="AU84" s="34">
        <f>INDEX(table_national_indic,MATCH($AU$1,national_indicator_data!$A$1:$A$17,0),MATCH(selected_indic_name_unadj,national_indicator_data!$A$1:$R$1,0))</f>
        <v>0.47675243377685544</v>
      </c>
      <c r="AV84" s="34">
        <f>INDEX(table_national_indic,MATCH($AV$1,national_indicator_data!$A$1:$A$7,0),MATCH(selected_indic_name_unadj,national_indicator_data!$A$1:$R$1,0))</f>
        <v>0.76214221292766271</v>
      </c>
      <c r="AW84" s="34">
        <f t="shared" si="29"/>
        <v>0.69547554626099606</v>
      </c>
      <c r="AX84" s="34">
        <f t="shared" si="30"/>
        <v>0.82880887959432936</v>
      </c>
      <c r="AY84" s="34">
        <f t="shared" si="31"/>
        <v>0.66214221292766273</v>
      </c>
      <c r="AZ84" s="34">
        <f t="shared" si="32"/>
        <v>0.86214221292766269</v>
      </c>
      <c r="BA84" s="34">
        <f>INDEX(table_national_indic,MATCH($BA$1,national_indicator_data!$A$1:$A$7,0),MATCH(selected_indic_name_unadj,national_indicator_data!$A$1:$R$1,0))</f>
        <v>0</v>
      </c>
      <c r="BB84" s="34">
        <f t="shared" si="33"/>
        <v>0.41056134700106361</v>
      </c>
      <c r="BC84" s="34">
        <f t="shared" si="41"/>
        <v>0.5433561986999752</v>
      </c>
      <c r="BD84" s="34">
        <f t="shared" si="42"/>
        <v>0.37798860073002238</v>
      </c>
      <c r="BE84" s="34">
        <f t="shared" si="43"/>
        <v>0.57644307392706762</v>
      </c>
      <c r="BG84">
        <f t="shared" si="44"/>
        <v>83</v>
      </c>
      <c r="BH84">
        <f t="shared" si="34"/>
        <v>287</v>
      </c>
      <c r="BI84" s="42">
        <f t="shared" si="45"/>
        <v>0.40909091949462889</v>
      </c>
      <c r="BJ84" s="42">
        <f t="shared" si="46"/>
        <v>0.41808682558234855</v>
      </c>
      <c r="BK84" s="42">
        <f t="shared" si="47"/>
        <v>0.53574167372197201</v>
      </c>
      <c r="BL84" s="42">
        <f t="shared" si="48"/>
        <v>0.3891310869913075</v>
      </c>
      <c r="BM84" s="42">
        <f t="shared" si="49"/>
        <v>0.56510089521014162</v>
      </c>
      <c r="BN84" s="42">
        <f t="shared" si="50"/>
        <v>0.47675243377685544</v>
      </c>
    </row>
    <row r="85" spans="1:66" x14ac:dyDescent="0.25">
      <c r="A85" t="s">
        <v>276</v>
      </c>
      <c r="B85" t="s">
        <v>275</v>
      </c>
      <c r="C85" t="s">
        <v>48</v>
      </c>
      <c r="D85" t="s">
        <v>46</v>
      </c>
      <c r="E85" s="2">
        <v>310</v>
      </c>
      <c r="F85" s="2">
        <v>280</v>
      </c>
      <c r="G85" s="2">
        <v>24</v>
      </c>
      <c r="H85" s="2">
        <v>50</v>
      </c>
      <c r="I85" s="2">
        <v>68</v>
      </c>
      <c r="J85" s="2">
        <v>51</v>
      </c>
      <c r="K85" s="2">
        <v>19</v>
      </c>
      <c r="L85" s="2">
        <v>42.735042572021484</v>
      </c>
      <c r="M85" s="46" t="str">
        <f t="shared" si="35"/>
        <v>NRA*</v>
      </c>
      <c r="N85" s="2">
        <v>50.699298858642578</v>
      </c>
      <c r="O85" s="46" t="str">
        <f t="shared" si="36"/>
        <v>NRA*</v>
      </c>
      <c r="P85" s="2">
        <v>92</v>
      </c>
      <c r="Q85" s="46" t="str">
        <f t="shared" si="37"/>
        <v>NRA*</v>
      </c>
      <c r="R85" s="2">
        <v>18.214284896850586</v>
      </c>
      <c r="S85" s="2">
        <v>17.004884719848633</v>
      </c>
      <c r="T85" s="2">
        <v>75</v>
      </c>
      <c r="U85" s="4">
        <v>77.620437622070313</v>
      </c>
      <c r="V85" s="2">
        <v>89.705879211425781</v>
      </c>
      <c r="W85" s="2">
        <v>86.585258483886719</v>
      </c>
      <c r="X85" s="2">
        <v>94.736839294433594</v>
      </c>
      <c r="Y85" s="2">
        <v>93.974555969238281</v>
      </c>
      <c r="Z85" s="2">
        <v>72.549018859863281</v>
      </c>
      <c r="AA85" s="2">
        <v>77.588111877441406</v>
      </c>
      <c r="AB85" s="2">
        <v>98.642532348632813</v>
      </c>
      <c r="AC85" s="46" t="str">
        <f t="shared" si="38"/>
        <v>NRA*</v>
      </c>
      <c r="AD85" s="2">
        <v>28.246753692626953</v>
      </c>
      <c r="AE85" s="2">
        <v>30.267688751220703</v>
      </c>
      <c r="AF85" s="2"/>
      <c r="AG85" s="4">
        <f t="shared" si="39"/>
        <v>310</v>
      </c>
      <c r="AH85" s="4" t="str" cm="1">
        <f t="array" ref="AH85">IF(AG85="NR**","NR**",INDEX(trust_indicator_data!$A$2:$BE$127,(ROW()-ROW(trust_indicator_data!$A$1:$BE$1)),MATCH(selected_indic_name_adj,trust_indicator_data!$A$1:$BE$1,0)))</f>
        <v>NRA*</v>
      </c>
      <c r="AI85" s="4" t="str">
        <f>IF(AG85="NR**","NR**",IF(AH85="NRA*","NRA*",RANK(AH85,AH:AH,1)+COUNTIF($AH$2:AH85,AH85)-1))</f>
        <v>NRA*</v>
      </c>
      <c r="AJ85" s="4" cm="1">
        <f t="array" ref="AJ85">IF(AG85="NR**","NR**",INDEX(trust_indicator_data!$A$2:$BE$127,(ROW()-ROW(trust_indicator_data!$A$1:$BE$1)),MATCH(selected_indic_name_unadj,trust_indicator_data!$A$1:$BE$1,0)))</f>
        <v>42.735042572021484</v>
      </c>
      <c r="AK85" s="4">
        <f>IF(AG85="NR**","NR**",RANK(trust_indicator_data!AJ85,AJ:AJ,1)+COUNTIF($AJ$2:AJ85,AJ85)-1)</f>
        <v>26</v>
      </c>
      <c r="AM85" s="4" cm="1">
        <f t="array" ref="AM85">IF(AQ85&lt;10,0,INDEX(trust_indicator_data!$A$2:$BE$127,(ROW()-ROW(trust_indicator_data!$A$1:$BE$1)),MATCH(selected_indic_name_unadj,trust_indicator_data!$A$1:$BE$1,0)))</f>
        <v>42.735042572021484</v>
      </c>
      <c r="AN85" s="4">
        <f t="shared" si="40"/>
        <v>26</v>
      </c>
      <c r="AP85" s="4">
        <f>RANK(trust_indicator_data!$AQ85,AQ:AQ,1)+COUNTIF($AQ$2:AQ85,AQ85)-1</f>
        <v>87</v>
      </c>
      <c r="AQ85" s="4" cm="1">
        <f t="array" ref="AQ85">INDEX(trust_indicator_data!$A$2:$BE$127,(ROW()-ROW(trust_indicator_data!$A$1:$BE$1)),MATCH(selected_indic_denom,trust_indicator_data!$A$1:$BE$1,0))</f>
        <v>310</v>
      </c>
      <c r="AR85" s="4" cm="1">
        <f t="array" ref="AR85">INDEX(trust_indicator_data!$A$2:$BE$127,(ROW()-ROW(trust_indicator_data!$A$1:$BE$1)),MATCH(selected_indic_name_unadj,trust_indicator_data!$A$1:$BE$1,0))/100</f>
        <v>0.42735042572021487</v>
      </c>
      <c r="AS85" s="4">
        <f>IF(AQ85&lt;10,NA(),trust_indicator_data!$AR85)</f>
        <v>0.42735042572021487</v>
      </c>
      <c r="AU85" s="4">
        <f>INDEX(table_national_indic,MATCH($AU$1,national_indicator_data!$A$1:$A$17,0),MATCH(selected_indic_name_unadj,national_indicator_data!$A$1:$R$1,0))</f>
        <v>0.47675243377685544</v>
      </c>
      <c r="AV85" s="4">
        <f>INDEX(table_national_indic,MATCH($AV$1,national_indicator_data!$A$1:$A$7,0),MATCH(selected_indic_name_unadj,national_indicator_data!$A$1:$R$1,0))</f>
        <v>0.76214221292766271</v>
      </c>
      <c r="AW85" s="4">
        <f t="shared" si="29"/>
        <v>0.70534602950295622</v>
      </c>
      <c r="AX85" s="4">
        <f t="shared" si="30"/>
        <v>0.8189383963523692</v>
      </c>
      <c r="AY85" s="4">
        <f t="shared" si="31"/>
        <v>0.67694793779060303</v>
      </c>
      <c r="AZ85" s="4">
        <f t="shared" si="32"/>
        <v>0.84733648806472239</v>
      </c>
      <c r="BA85" s="4">
        <f>INDEX(table_national_indic,MATCH($BA$1,national_indicator_data!$A$1:$A$7,0),MATCH(selected_indic_name_unadj,national_indicator_data!$A$1:$R$1,0))</f>
        <v>0</v>
      </c>
      <c r="BB85" s="4">
        <f t="shared" si="33"/>
        <v>0.42028942912295691</v>
      </c>
      <c r="BC85" s="4">
        <f t="shared" si="41"/>
        <v>0.53351508461900155</v>
      </c>
      <c r="BD85" s="4">
        <f t="shared" si="42"/>
        <v>0.39239813105883031</v>
      </c>
      <c r="BE85" s="4">
        <f t="shared" si="43"/>
        <v>0.561780034522674</v>
      </c>
      <c r="BG85">
        <f t="shared" si="44"/>
        <v>84</v>
      </c>
      <c r="BH85">
        <f t="shared" si="34"/>
        <v>293</v>
      </c>
      <c r="BI85" s="42">
        <f t="shared" si="45"/>
        <v>0.53278690338134771</v>
      </c>
      <c r="BJ85" s="42">
        <f t="shared" si="46"/>
        <v>0.41868618777621402</v>
      </c>
      <c r="BK85" s="42">
        <f t="shared" si="47"/>
        <v>0.53513569179814446</v>
      </c>
      <c r="BL85" s="42">
        <f t="shared" si="48"/>
        <v>0.39001985063852457</v>
      </c>
      <c r="BM85" s="42">
        <f t="shared" si="49"/>
        <v>0.56419727997754421</v>
      </c>
      <c r="BN85" s="42">
        <f t="shared" si="50"/>
        <v>0.47675243377685544</v>
      </c>
    </row>
    <row r="86" spans="1:66" x14ac:dyDescent="0.25">
      <c r="A86" t="s">
        <v>83</v>
      </c>
      <c r="B86" t="s">
        <v>82</v>
      </c>
      <c r="C86" t="s">
        <v>48</v>
      </c>
      <c r="D86" t="s">
        <v>46</v>
      </c>
      <c r="E86" s="2">
        <v>464</v>
      </c>
      <c r="F86" s="2">
        <v>413</v>
      </c>
      <c r="G86" s="2">
        <v>49</v>
      </c>
      <c r="H86" s="2">
        <v>46</v>
      </c>
      <c r="I86" s="2">
        <v>67</v>
      </c>
      <c r="J86" s="2">
        <v>90</v>
      </c>
      <c r="K86" s="2">
        <v>37</v>
      </c>
      <c r="L86" s="2">
        <v>53.652969360351563</v>
      </c>
      <c r="M86" s="46" t="str">
        <f t="shared" si="35"/>
        <v>NRA*</v>
      </c>
      <c r="N86" s="2">
        <v>41.280353546142578</v>
      </c>
      <c r="O86" s="46" t="str">
        <f t="shared" si="36"/>
        <v>NRA*</v>
      </c>
      <c r="P86" s="2">
        <v>73.913040161132813</v>
      </c>
      <c r="Q86" s="46" t="str">
        <f t="shared" si="37"/>
        <v>NRA*</v>
      </c>
      <c r="R86" s="2">
        <v>4.3583536148071289</v>
      </c>
      <c r="S86" s="2">
        <v>6.761265754699707</v>
      </c>
      <c r="T86" s="2">
        <v>87.755104064941406</v>
      </c>
      <c r="U86" s="4">
        <v>82.288017272949219</v>
      </c>
      <c r="V86" s="2">
        <v>77.6119384765625</v>
      </c>
      <c r="W86" s="2">
        <v>84.784698486328125</v>
      </c>
      <c r="X86" s="2">
        <v>56.756755828857422</v>
      </c>
      <c r="Y86" s="2">
        <v>60.064872741699219</v>
      </c>
      <c r="Z86" s="2">
        <v>57.777778625488281</v>
      </c>
      <c r="AA86" s="2">
        <v>56.724365234375</v>
      </c>
      <c r="AB86" s="2">
        <v>99.709304809570313</v>
      </c>
      <c r="AC86" s="46" t="str">
        <f t="shared" si="38"/>
        <v>NRA*</v>
      </c>
      <c r="AD86" s="2">
        <v>39.655174255371094</v>
      </c>
      <c r="AE86" s="2">
        <v>35.440959930419922</v>
      </c>
      <c r="AF86" s="2"/>
      <c r="AG86" s="34">
        <f t="shared" si="39"/>
        <v>464</v>
      </c>
      <c r="AH86" s="34" t="str" cm="1">
        <f t="array" ref="AH86">IF(AG86="NR**","NR**",INDEX(trust_indicator_data!$A$2:$BE$127,(ROW()-ROW(trust_indicator_data!$A$1:$BE$1)),MATCH(selected_indic_name_adj,trust_indicator_data!$A$1:$BE$1,0)))</f>
        <v>NRA*</v>
      </c>
      <c r="AI86" s="34" t="str">
        <f>IF(AG86="NR**","NR**",IF(AH86="NRA*","NRA*",RANK(AH86,AH:AH,1)+COUNTIF($AH$2:AH86,AH86)-1))</f>
        <v>NRA*</v>
      </c>
      <c r="AJ86" s="34" cm="1">
        <f t="array" ref="AJ86">IF(AG86="NR**","NR**",INDEX(trust_indicator_data!$A$2:$BE$127,(ROW()-ROW(trust_indicator_data!$A$1:$BE$1)),MATCH(selected_indic_name_unadj,trust_indicator_data!$A$1:$BE$1,0)))</f>
        <v>53.652969360351563</v>
      </c>
      <c r="AK86" s="34">
        <f>IF(AG86="NR**","NR**",RANK(trust_indicator_data!AJ86,AJ:AJ,1)+COUNTIF($AJ$2:AJ86,AJ86)-1)</f>
        <v>92</v>
      </c>
      <c r="AM86" s="34" cm="1">
        <f t="array" ref="AM86">IF(AQ86&lt;10,0,INDEX(trust_indicator_data!$A$2:$BE$127,(ROW()-ROW(trust_indicator_data!$A$1:$BE$1)),MATCH(selected_indic_name_unadj,trust_indicator_data!$A$1:$BE$1,0)))</f>
        <v>53.652969360351563</v>
      </c>
      <c r="AN86" s="34">
        <f t="shared" si="40"/>
        <v>92</v>
      </c>
      <c r="AP86" s="34">
        <f>RANK(trust_indicator_data!$AQ86,AQ:AQ,1)+COUNTIF($AQ$2:AQ86,AQ86)-1</f>
        <v>116</v>
      </c>
      <c r="AQ86" s="34" cm="1">
        <f t="array" ref="AQ86">INDEX(trust_indicator_data!$A$2:$BE$127,(ROW()-ROW(trust_indicator_data!$A$1:$BE$1)),MATCH(selected_indic_denom,trust_indicator_data!$A$1:$BE$1,0))</f>
        <v>464</v>
      </c>
      <c r="AR86" s="34" cm="1">
        <f t="array" ref="AR86">INDEX(trust_indicator_data!$A$2:$BE$127,(ROW()-ROW(trust_indicator_data!$A$1:$BE$1)),MATCH(selected_indic_name_unadj,trust_indicator_data!$A$1:$BE$1,0))/100</f>
        <v>0.53652969360351566</v>
      </c>
      <c r="AS86" s="34">
        <f>IF(AQ86&lt;10,NA(),trust_indicator_data!$AR86)</f>
        <v>0.53652969360351566</v>
      </c>
      <c r="AU86" s="34">
        <f>INDEX(table_national_indic,MATCH($AU$1,national_indicator_data!$A$1:$A$17,0),MATCH(selected_indic_name_unadj,national_indicator_data!$A$1:$R$1,0))</f>
        <v>0.47675243377685544</v>
      </c>
      <c r="AV86" s="34">
        <f>INDEX(table_national_indic,MATCH($AV$1,national_indicator_data!$A$1:$A$7,0),MATCH(selected_indic_name_unadj,national_indicator_data!$A$1:$R$1,0))</f>
        <v>0.76214221292766271</v>
      </c>
      <c r="AW86" s="34">
        <f t="shared" si="29"/>
        <v>0.7157183783833998</v>
      </c>
      <c r="AX86" s="34">
        <f t="shared" si="30"/>
        <v>0.80856604747192562</v>
      </c>
      <c r="AY86" s="34">
        <f t="shared" si="31"/>
        <v>0.69250646111126823</v>
      </c>
      <c r="AZ86" s="34">
        <f t="shared" si="32"/>
        <v>0.83177796474405719</v>
      </c>
      <c r="BA86" s="34">
        <f>INDEX(table_national_indic,MATCH($BA$1,national_indicator_data!$A$1:$A$7,0),MATCH(selected_indic_name_unadj,national_indicator_data!$A$1:$R$1,0))</f>
        <v>0</v>
      </c>
      <c r="BB86" s="34">
        <f t="shared" si="33"/>
        <v>0.43054553896594339</v>
      </c>
      <c r="BC86" s="34">
        <f t="shared" si="41"/>
        <v>0.52315959471004048</v>
      </c>
      <c r="BD86" s="34">
        <f t="shared" si="42"/>
        <v>0.40764174312186113</v>
      </c>
      <c r="BE86" s="34">
        <f t="shared" si="43"/>
        <v>0.54631331866164623</v>
      </c>
      <c r="BG86">
        <f t="shared" si="44"/>
        <v>85</v>
      </c>
      <c r="BH86">
        <f t="shared" si="34"/>
        <v>298</v>
      </c>
      <c r="BI86" s="42">
        <f t="shared" si="45"/>
        <v>0.54035087585449215</v>
      </c>
      <c r="BJ86" s="42">
        <f t="shared" si="46"/>
        <v>0.41917185411346009</v>
      </c>
      <c r="BK86" s="42">
        <f t="shared" si="47"/>
        <v>0.53464471241832012</v>
      </c>
      <c r="BL86" s="42">
        <f t="shared" si="48"/>
        <v>0.39074015791645927</v>
      </c>
      <c r="BM86" s="42">
        <f t="shared" si="49"/>
        <v>0.56346505207033493</v>
      </c>
      <c r="BN86" s="42">
        <f t="shared" si="50"/>
        <v>0.47675243377685544</v>
      </c>
    </row>
    <row r="87" spans="1:66" x14ac:dyDescent="0.25">
      <c r="A87" t="s">
        <v>190</v>
      </c>
      <c r="B87" t="s">
        <v>189</v>
      </c>
      <c r="C87" t="s">
        <v>74</v>
      </c>
      <c r="D87" t="s">
        <v>72</v>
      </c>
      <c r="E87" s="2">
        <v>89</v>
      </c>
      <c r="F87" s="2">
        <v>88</v>
      </c>
      <c r="G87" s="2">
        <v>0</v>
      </c>
      <c r="H87" s="2">
        <v>4</v>
      </c>
      <c r="I87" s="2">
        <v>4</v>
      </c>
      <c r="J87" s="2">
        <v>26</v>
      </c>
      <c r="K87" s="2">
        <v>9</v>
      </c>
      <c r="L87" s="2">
        <v>57.333332061767578</v>
      </c>
      <c r="M87" s="46" t="str">
        <f t="shared" si="35"/>
        <v>NRA*</v>
      </c>
      <c r="N87" s="2">
        <v>48.148147583007813</v>
      </c>
      <c r="O87" s="46" t="str">
        <f t="shared" si="36"/>
        <v>NRA*</v>
      </c>
      <c r="P87" s="2"/>
      <c r="Q87" s="46" t="str">
        <f t="shared" si="37"/>
        <v>NRA*</v>
      </c>
      <c r="R87" s="2">
        <v>4.5454545021057129</v>
      </c>
      <c r="S87" s="2">
        <v>10.47484302520752</v>
      </c>
      <c r="T87" s="2"/>
      <c r="V87" s="2"/>
      <c r="W87" s="2"/>
      <c r="X87" s="2"/>
      <c r="Y87" s="2"/>
      <c r="Z87" s="2">
        <v>65.384613037109375</v>
      </c>
      <c r="AA87" s="2">
        <v>62.260017395019531</v>
      </c>
      <c r="AB87" s="2">
        <v>84.482757568359375</v>
      </c>
      <c r="AC87" s="46" t="str">
        <f t="shared" si="38"/>
        <v>NRA*</v>
      </c>
      <c r="AD87" s="2">
        <v>42.696628570556641</v>
      </c>
      <c r="AE87" s="2">
        <v>37.000679016113281</v>
      </c>
      <c r="AF87" s="2"/>
      <c r="AG87" s="4">
        <f t="shared" si="39"/>
        <v>89</v>
      </c>
      <c r="AH87" s="4" t="str" cm="1">
        <f t="array" ref="AH87">IF(AG87="NR**","NR**",INDEX(trust_indicator_data!$A$2:$BE$127,(ROW()-ROW(trust_indicator_data!$A$1:$BE$1)),MATCH(selected_indic_name_adj,trust_indicator_data!$A$1:$BE$1,0)))</f>
        <v>NRA*</v>
      </c>
      <c r="AI87" s="4" t="str">
        <f>IF(AG87="NR**","NR**",IF(AH87="NRA*","NRA*",RANK(AH87,AH:AH,1)+COUNTIF($AH$2:AH87,AH87)-1))</f>
        <v>NRA*</v>
      </c>
      <c r="AJ87" s="4" cm="1">
        <f t="array" ref="AJ87">IF(AG87="NR**","NR**",INDEX(trust_indicator_data!$A$2:$BE$127,(ROW()-ROW(trust_indicator_data!$A$1:$BE$1)),MATCH(selected_indic_name_unadj,trust_indicator_data!$A$1:$BE$1,0)))</f>
        <v>57.333332061767578</v>
      </c>
      <c r="AK87" s="4">
        <f>IF(AG87="NR**","NR**",RANK(trust_indicator_data!AJ87,AJ:AJ,1)+COUNTIF($AJ$2:AJ87,AJ87)-1)</f>
        <v>109</v>
      </c>
      <c r="AM87" s="4" cm="1">
        <f t="array" ref="AM87">IF(AQ87&lt;10,0,INDEX(trust_indicator_data!$A$2:$BE$127,(ROW()-ROW(trust_indicator_data!$A$1:$BE$1)),MATCH(selected_indic_name_unadj,trust_indicator_data!$A$1:$BE$1,0)))</f>
        <v>57.333332061767578</v>
      </c>
      <c r="AN87" s="4">
        <f t="shared" si="40"/>
        <v>109</v>
      </c>
      <c r="AP87" s="4">
        <f>RANK(trust_indicator_data!$AQ87,AQ:AQ,1)+COUNTIF($AQ$2:AQ87,AQ87)-1</f>
        <v>5</v>
      </c>
      <c r="AQ87" s="4" cm="1">
        <f t="array" ref="AQ87">INDEX(trust_indicator_data!$A$2:$BE$127,(ROW()-ROW(trust_indicator_data!$A$1:$BE$1)),MATCH(selected_indic_denom,trust_indicator_data!$A$1:$BE$1,0))</f>
        <v>89</v>
      </c>
      <c r="AR87" s="4" cm="1">
        <f t="array" ref="AR87">INDEX(trust_indicator_data!$A$2:$BE$127,(ROW()-ROW(trust_indicator_data!$A$1:$BE$1)),MATCH(selected_indic_name_unadj,trust_indicator_data!$A$1:$BE$1,0))/100</f>
        <v>0.57333332061767583</v>
      </c>
      <c r="AS87" s="4">
        <f>IF(AQ87&lt;10,NA(),trust_indicator_data!$AR87)</f>
        <v>0.57333332061767583</v>
      </c>
      <c r="AU87" s="4">
        <f>INDEX(table_national_indic,MATCH($AU$1,national_indicator_data!$A$1:$A$17,0),MATCH(selected_indic_name_unadj,national_indicator_data!$A$1:$R$1,0))</f>
        <v>0.47675243377685544</v>
      </c>
      <c r="AV87" s="4">
        <f>INDEX(table_national_indic,MATCH($AV$1,national_indicator_data!$A$1:$A$7,0),MATCH(selected_indic_name_unadj,national_indicator_data!$A$1:$R$1,0))</f>
        <v>0.76214221292766271</v>
      </c>
      <c r="AW87" s="4">
        <f t="shared" si="29"/>
        <v>0.65614242492702668</v>
      </c>
      <c r="AX87" s="4">
        <f t="shared" si="30"/>
        <v>0.86814200092829874</v>
      </c>
      <c r="AY87" s="4">
        <f t="shared" si="31"/>
        <v>0.60314253092670866</v>
      </c>
      <c r="AZ87" s="4">
        <f t="shared" si="32"/>
        <v>0.92114189492861676</v>
      </c>
      <c r="BA87" s="4">
        <f>INDEX(table_national_indic,MATCH($BA$1,national_indicator_data!$A$1:$A$7,0),MATCH(selected_indic_name_unadj,national_indicator_data!$A$1:$R$1,0))</f>
        <v>0</v>
      </c>
      <c r="BB87" s="4">
        <f t="shared" si="33"/>
        <v>0.37217911307498824</v>
      </c>
      <c r="BC87" s="4">
        <f t="shared" si="41"/>
        <v>0.5823666815359515</v>
      </c>
      <c r="BD87" s="4">
        <f t="shared" si="42"/>
        <v>0.32175364358339731</v>
      </c>
      <c r="BE87" s="4">
        <f t="shared" si="43"/>
        <v>0.63408235734565455</v>
      </c>
      <c r="BG87">
        <f t="shared" si="44"/>
        <v>86</v>
      </c>
      <c r="BH87">
        <f t="shared" si="34"/>
        <v>302</v>
      </c>
      <c r="BI87" s="42">
        <f t="shared" si="45"/>
        <v>0.51398601531982424</v>
      </c>
      <c r="BJ87" s="42">
        <f t="shared" si="46"/>
        <v>0.41955172621234432</v>
      </c>
      <c r="BK87" s="42">
        <f t="shared" si="47"/>
        <v>0.53426071641399986</v>
      </c>
      <c r="BL87" s="42">
        <f t="shared" si="48"/>
        <v>0.39130364346575164</v>
      </c>
      <c r="BM87" s="42">
        <f t="shared" si="49"/>
        <v>0.56289231351080715</v>
      </c>
      <c r="BN87" s="42">
        <f t="shared" si="50"/>
        <v>0.47675243377685544</v>
      </c>
    </row>
    <row r="88" spans="1:66" x14ac:dyDescent="0.25">
      <c r="A88" t="s">
        <v>288</v>
      </c>
      <c r="B88" t="s">
        <v>287</v>
      </c>
      <c r="C88" t="s">
        <v>18</v>
      </c>
      <c r="D88" t="s">
        <v>16</v>
      </c>
      <c r="E88" s="2">
        <v>149</v>
      </c>
      <c r="F88" s="2">
        <v>136</v>
      </c>
      <c r="G88" s="2">
        <v>13</v>
      </c>
      <c r="H88" s="2">
        <v>8</v>
      </c>
      <c r="I88" s="2">
        <v>16</v>
      </c>
      <c r="J88" s="2">
        <v>16</v>
      </c>
      <c r="K88" s="2">
        <v>6</v>
      </c>
      <c r="L88" s="2">
        <v>55.882354736328125</v>
      </c>
      <c r="M88" s="46" t="str">
        <f t="shared" si="35"/>
        <v>NRA*</v>
      </c>
      <c r="N88" s="2">
        <v>36.363636016845703</v>
      </c>
      <c r="O88" s="46" t="str">
        <f t="shared" si="36"/>
        <v>NRA*</v>
      </c>
      <c r="P88" s="2"/>
      <c r="Q88" s="46" t="str">
        <f t="shared" si="37"/>
        <v>NRA*</v>
      </c>
      <c r="R88" s="2">
        <v>5.8823528289794922</v>
      </c>
      <c r="S88" s="2">
        <v>9.9190425872802734</v>
      </c>
      <c r="T88" s="2">
        <v>76.923080444335938</v>
      </c>
      <c r="U88" s="4">
        <v>73.7911376953125</v>
      </c>
      <c r="V88" s="2">
        <v>75</v>
      </c>
      <c r="W88" s="2">
        <v>73.275680541992188</v>
      </c>
      <c r="X88" s="2"/>
      <c r="Y88" s="2"/>
      <c r="Z88" s="2">
        <v>81.25</v>
      </c>
      <c r="AA88" s="2">
        <v>77.91094970703125</v>
      </c>
      <c r="AB88" s="2">
        <v>90</v>
      </c>
      <c r="AC88" s="46" t="str">
        <f t="shared" si="38"/>
        <v>NRA*</v>
      </c>
      <c r="AD88" s="2">
        <v>50</v>
      </c>
      <c r="AE88" s="2">
        <v>40.659004211425781</v>
      </c>
      <c r="AF88" s="2"/>
      <c r="AG88" s="34">
        <f t="shared" si="39"/>
        <v>149</v>
      </c>
      <c r="AH88" s="34" t="str" cm="1">
        <f t="array" ref="AH88">IF(AG88="NR**","NR**",INDEX(trust_indicator_data!$A$2:$BE$127,(ROW()-ROW(trust_indicator_data!$A$1:$BE$1)),MATCH(selected_indic_name_adj,trust_indicator_data!$A$1:$BE$1,0)))</f>
        <v>NRA*</v>
      </c>
      <c r="AI88" s="34" t="str">
        <f>IF(AG88="NR**","NR**",IF(AH88="NRA*","NRA*",RANK(AH88,AH:AH,1)+COUNTIF($AH$2:AH88,AH88)-1))</f>
        <v>NRA*</v>
      </c>
      <c r="AJ88" s="34" cm="1">
        <f t="array" ref="AJ88">IF(AG88="NR**","NR**",INDEX(trust_indicator_data!$A$2:$BE$127,(ROW()-ROW(trust_indicator_data!$A$1:$BE$1)),MATCH(selected_indic_name_unadj,trust_indicator_data!$A$1:$BE$1,0)))</f>
        <v>55.882354736328125</v>
      </c>
      <c r="AK88" s="34">
        <f>IF(AG88="NR**","NR**",RANK(trust_indicator_data!AJ88,AJ:AJ,1)+COUNTIF($AJ$2:AJ88,AJ88)-1)</f>
        <v>108</v>
      </c>
      <c r="AM88" s="34" cm="1">
        <f t="array" ref="AM88">IF(AQ88&lt;10,0,INDEX(trust_indicator_data!$A$2:$BE$127,(ROW()-ROW(trust_indicator_data!$A$1:$BE$1)),MATCH(selected_indic_name_unadj,trust_indicator_data!$A$1:$BE$1,0)))</f>
        <v>55.882354736328125</v>
      </c>
      <c r="AN88" s="34">
        <f t="shared" si="40"/>
        <v>108</v>
      </c>
      <c r="AP88" s="34">
        <f>RANK(trust_indicator_data!$AQ88,AQ:AQ,1)+COUNTIF($AQ$2:AQ88,AQ88)-1</f>
        <v>28</v>
      </c>
      <c r="AQ88" s="34" cm="1">
        <f t="array" ref="AQ88">INDEX(trust_indicator_data!$A$2:$BE$127,(ROW()-ROW(trust_indicator_data!$A$1:$BE$1)),MATCH(selected_indic_denom,trust_indicator_data!$A$1:$BE$1,0))</f>
        <v>149</v>
      </c>
      <c r="AR88" s="34" cm="1">
        <f t="array" ref="AR88">INDEX(trust_indicator_data!$A$2:$BE$127,(ROW()-ROW(trust_indicator_data!$A$1:$BE$1)),MATCH(selected_indic_name_unadj,trust_indicator_data!$A$1:$BE$1,0))/100</f>
        <v>0.55882354736328121</v>
      </c>
      <c r="AS88" s="34">
        <f>IF(AQ88&lt;10,NA(),trust_indicator_data!$AR88)</f>
        <v>0.55882354736328121</v>
      </c>
      <c r="AU88" s="34">
        <f>INDEX(table_national_indic,MATCH($AU$1,national_indicator_data!$A$1:$A$17,0),MATCH(selected_indic_name_unadj,national_indicator_data!$A$1:$R$1,0))</f>
        <v>0.47675243377685544</v>
      </c>
      <c r="AV88" s="34">
        <f>INDEX(table_national_indic,MATCH($AV$1,national_indicator_data!$A$1:$A$7,0),MATCH(selected_indic_name_unadj,national_indicator_data!$A$1:$R$1,0))</f>
        <v>0.76214221292766271</v>
      </c>
      <c r="AW88" s="34">
        <f t="shared" si="29"/>
        <v>0.6802190208757587</v>
      </c>
      <c r="AX88" s="34">
        <f t="shared" si="30"/>
        <v>0.84406540497956672</v>
      </c>
      <c r="AY88" s="34">
        <f t="shared" si="31"/>
        <v>0.63925742484980663</v>
      </c>
      <c r="AZ88" s="34">
        <f t="shared" si="32"/>
        <v>0.88502700100551879</v>
      </c>
      <c r="BA88" s="34">
        <f>INDEX(table_national_indic,MATCH($BA$1,national_indicator_data!$A$1:$A$7,0),MATCH(selected_indic_name_unadj,national_indicator_data!$A$1:$R$1,0))</f>
        <v>0</v>
      </c>
      <c r="BB88" s="34">
        <f t="shared" si="33"/>
        <v>0.39559484984624865</v>
      </c>
      <c r="BC88" s="34">
        <f t="shared" si="41"/>
        <v>0.55853271850644981</v>
      </c>
      <c r="BD88" s="34">
        <f t="shared" si="42"/>
        <v>0.3559311547740554</v>
      </c>
      <c r="BE88" s="34">
        <f t="shared" si="43"/>
        <v>0.59897087420666939</v>
      </c>
      <c r="BG88">
        <f t="shared" si="44"/>
        <v>87</v>
      </c>
      <c r="BH88">
        <f t="shared" si="34"/>
        <v>310</v>
      </c>
      <c r="BI88" s="42">
        <f t="shared" si="45"/>
        <v>0.42735042572021487</v>
      </c>
      <c r="BJ88" s="42">
        <f t="shared" si="46"/>
        <v>0.42028942912295691</v>
      </c>
      <c r="BK88" s="42">
        <f t="shared" si="47"/>
        <v>0.53351508461900155</v>
      </c>
      <c r="BL88" s="42">
        <f t="shared" si="48"/>
        <v>0.39239813105883031</v>
      </c>
      <c r="BM88" s="42">
        <f t="shared" si="49"/>
        <v>0.561780034522674</v>
      </c>
      <c r="BN88" s="42">
        <f t="shared" si="50"/>
        <v>0.47675243377685544</v>
      </c>
    </row>
    <row r="89" spans="1:66" x14ac:dyDescent="0.25">
      <c r="A89" t="s">
        <v>188</v>
      </c>
      <c r="B89" t="s">
        <v>187</v>
      </c>
      <c r="C89" t="s">
        <v>512</v>
      </c>
      <c r="D89" t="s">
        <v>70</v>
      </c>
      <c r="E89" s="2">
        <v>221</v>
      </c>
      <c r="F89" s="2">
        <v>206</v>
      </c>
      <c r="G89" s="2">
        <v>12</v>
      </c>
      <c r="H89" s="2">
        <v>14</v>
      </c>
      <c r="I89" s="2">
        <v>15</v>
      </c>
      <c r="J89" s="2">
        <v>21</v>
      </c>
      <c r="K89" s="2">
        <v>9</v>
      </c>
      <c r="L89" s="2">
        <v>33.908046722412109</v>
      </c>
      <c r="M89" s="46" t="str">
        <f t="shared" si="35"/>
        <v>NRA*</v>
      </c>
      <c r="N89" s="2">
        <v>82.692306518554688</v>
      </c>
      <c r="O89" s="46" t="str">
        <f t="shared" si="36"/>
        <v>NRA*</v>
      </c>
      <c r="P89" s="2">
        <v>100</v>
      </c>
      <c r="Q89" s="46" t="str">
        <f t="shared" si="37"/>
        <v>NRA*</v>
      </c>
      <c r="R89" s="2">
        <v>34.951457977294922</v>
      </c>
      <c r="S89" s="2">
        <v>23.886430740356445</v>
      </c>
      <c r="T89" s="2">
        <v>91.666664123535156</v>
      </c>
      <c r="U89" s="4">
        <v>102.50737762451172</v>
      </c>
      <c r="V89" s="2">
        <v>100</v>
      </c>
      <c r="W89" s="2">
        <v>91.086624145507813</v>
      </c>
      <c r="X89" s="2"/>
      <c r="Y89" s="2"/>
      <c r="Z89" s="2">
        <v>85.714286804199219</v>
      </c>
      <c r="AA89" s="2">
        <v>82.681182861328125</v>
      </c>
      <c r="AB89" s="2">
        <v>94.285713195800781</v>
      </c>
      <c r="AC89" s="46" t="str">
        <f t="shared" si="38"/>
        <v>NRA*</v>
      </c>
      <c r="AD89" s="2">
        <v>40.366973876953125</v>
      </c>
      <c r="AE89" s="2">
        <v>52.283527374267578</v>
      </c>
      <c r="AF89" s="2"/>
      <c r="AG89" s="4">
        <f t="shared" si="39"/>
        <v>221</v>
      </c>
      <c r="AH89" s="4" t="str" cm="1">
        <f t="array" ref="AH89">IF(AG89="NR**","NR**",INDEX(trust_indicator_data!$A$2:$BE$127,(ROW()-ROW(trust_indicator_data!$A$1:$BE$1)),MATCH(selected_indic_name_adj,trust_indicator_data!$A$1:$BE$1,0)))</f>
        <v>NRA*</v>
      </c>
      <c r="AI89" s="4" t="str">
        <f>IF(AG89="NR**","NR**",IF(AH89="NRA*","NRA*",RANK(AH89,AH:AH,1)+COUNTIF($AH$2:AH89,AH89)-1))</f>
        <v>NRA*</v>
      </c>
      <c r="AJ89" s="4" cm="1">
        <f t="array" ref="AJ89">IF(AG89="NR**","NR**",INDEX(trust_indicator_data!$A$2:$BE$127,(ROW()-ROW(trust_indicator_data!$A$1:$BE$1)),MATCH(selected_indic_name_unadj,trust_indicator_data!$A$1:$BE$1,0)))</f>
        <v>33.908046722412109</v>
      </c>
      <c r="AK89" s="4">
        <f>IF(AG89="NR**","NR**",RANK(trust_indicator_data!AJ89,AJ:AJ,1)+COUNTIF($AJ$2:AJ89,AJ89)-1)</f>
        <v>8</v>
      </c>
      <c r="AM89" s="4" cm="1">
        <f t="array" ref="AM89">IF(AQ89&lt;10,0,INDEX(trust_indicator_data!$A$2:$BE$127,(ROW()-ROW(trust_indicator_data!$A$1:$BE$1)),MATCH(selected_indic_name_unadj,trust_indicator_data!$A$1:$BE$1,0)))</f>
        <v>33.908046722412109</v>
      </c>
      <c r="AN89" s="4">
        <f t="shared" si="40"/>
        <v>8</v>
      </c>
      <c r="AP89" s="4">
        <f>RANK(trust_indicator_data!$AQ89,AQ:AQ,1)+COUNTIF($AQ$2:AQ89,AQ89)-1</f>
        <v>54</v>
      </c>
      <c r="AQ89" s="4" cm="1">
        <f t="array" ref="AQ89">INDEX(trust_indicator_data!$A$2:$BE$127,(ROW()-ROW(trust_indicator_data!$A$1:$BE$1)),MATCH(selected_indic_denom,trust_indicator_data!$A$1:$BE$1,0))</f>
        <v>221</v>
      </c>
      <c r="AR89" s="4" cm="1">
        <f t="array" ref="AR89">INDEX(trust_indicator_data!$A$2:$BE$127,(ROW()-ROW(trust_indicator_data!$A$1:$BE$1)),MATCH(selected_indic_name_unadj,trust_indicator_data!$A$1:$BE$1,0))/100</f>
        <v>0.33908046722412111</v>
      </c>
      <c r="AS89" s="4">
        <f>IF(AQ89&lt;10,NA(),trust_indicator_data!$AR89)</f>
        <v>0.33908046722412111</v>
      </c>
      <c r="AU89" s="4">
        <f>INDEX(table_national_indic,MATCH($AU$1,national_indicator_data!$A$1:$A$17,0),MATCH(selected_indic_name_unadj,national_indicator_data!$A$1:$R$1,0))</f>
        <v>0.47675243377685544</v>
      </c>
      <c r="AV89" s="4">
        <f>INDEX(table_national_indic,MATCH($AV$1,national_indicator_data!$A$1:$A$7,0),MATCH(selected_indic_name_unadj,national_indicator_data!$A$1:$R$1,0))</f>
        <v>0.76214221292766271</v>
      </c>
      <c r="AW89" s="4">
        <f t="shared" si="29"/>
        <v>0.69487493352803142</v>
      </c>
      <c r="AX89" s="4">
        <f t="shared" si="30"/>
        <v>0.829409492327294</v>
      </c>
      <c r="AY89" s="4">
        <f t="shared" si="31"/>
        <v>0.66124129382821584</v>
      </c>
      <c r="AZ89" s="4">
        <f t="shared" si="32"/>
        <v>0.86304313202710958</v>
      </c>
      <c r="BA89" s="4">
        <f>INDEX(table_national_indic,MATCH($BA$1,national_indicator_data!$A$1:$A$7,0),MATCH(selected_indic_name_unadj,national_indicator_data!$A$1:$R$1,0))</f>
        <v>0</v>
      </c>
      <c r="BB89" s="4">
        <f t="shared" si="33"/>
        <v>0.40997048598696872</v>
      </c>
      <c r="BC89" s="4">
        <f t="shared" si="41"/>
        <v>0.54395451773269188</v>
      </c>
      <c r="BD89" s="4">
        <f t="shared" si="42"/>
        <v>0.37711511540482745</v>
      </c>
      <c r="BE89" s="4">
        <f t="shared" si="43"/>
        <v>0.57733327707683346</v>
      </c>
      <c r="BG89">
        <f t="shared" si="44"/>
        <v>88</v>
      </c>
      <c r="BH89">
        <f t="shared" si="34"/>
        <v>326</v>
      </c>
      <c r="BI89" s="42">
        <f t="shared" si="45"/>
        <v>0.4952381134033203</v>
      </c>
      <c r="BJ89" s="42">
        <f t="shared" si="46"/>
        <v>0.42168300100605915</v>
      </c>
      <c r="BK89" s="42">
        <f t="shared" si="47"/>
        <v>0.53210682121544906</v>
      </c>
      <c r="BL89" s="42">
        <f t="shared" si="48"/>
        <v>0.39446644601969827</v>
      </c>
      <c r="BM89" s="42">
        <f t="shared" si="49"/>
        <v>0.5596787503247217</v>
      </c>
      <c r="BN89" s="42">
        <f t="shared" si="50"/>
        <v>0.47675243377685544</v>
      </c>
    </row>
    <row r="90" spans="1:66" x14ac:dyDescent="0.25">
      <c r="A90" t="s">
        <v>120</v>
      </c>
      <c r="B90" t="s">
        <v>119</v>
      </c>
      <c r="C90" t="s">
        <v>18</v>
      </c>
      <c r="D90" t="s">
        <v>16</v>
      </c>
      <c r="E90" s="2">
        <v>298</v>
      </c>
      <c r="F90" s="2">
        <v>265</v>
      </c>
      <c r="G90" s="2">
        <v>32</v>
      </c>
      <c r="H90" s="2">
        <v>16</v>
      </c>
      <c r="I90" s="2">
        <v>32</v>
      </c>
      <c r="J90" s="2">
        <v>45</v>
      </c>
      <c r="K90" s="2">
        <v>24</v>
      </c>
      <c r="L90" s="2">
        <v>54.035087585449219</v>
      </c>
      <c r="M90" s="46" t="str">
        <f t="shared" si="35"/>
        <v>NRA*</v>
      </c>
      <c r="N90" s="2">
        <v>37.751003265380859</v>
      </c>
      <c r="O90" s="46" t="str">
        <f t="shared" si="36"/>
        <v>NRA*</v>
      </c>
      <c r="P90" s="2">
        <v>100</v>
      </c>
      <c r="Q90" s="46" t="str">
        <f t="shared" si="37"/>
        <v>NRA*</v>
      </c>
      <c r="R90" s="2">
        <v>12.075471878051758</v>
      </c>
      <c r="S90" s="2">
        <v>17.403997421264648</v>
      </c>
      <c r="T90" s="2">
        <v>62.5</v>
      </c>
      <c r="U90" s="4">
        <v>64.9871826171875</v>
      </c>
      <c r="V90" s="2">
        <v>87.5</v>
      </c>
      <c r="W90" s="2">
        <v>83.60906982421875</v>
      </c>
      <c r="X90" s="2">
        <v>70.833335876464844</v>
      </c>
      <c r="Y90" s="2">
        <v>69.929542541503906</v>
      </c>
      <c r="Z90" s="2">
        <v>82.222221374511719</v>
      </c>
      <c r="AA90" s="2">
        <v>83.193458557128906</v>
      </c>
      <c r="AB90" s="2">
        <v>91.133003234863281</v>
      </c>
      <c r="AC90" s="46" t="str">
        <f t="shared" si="38"/>
        <v>NRA*</v>
      </c>
      <c r="AD90" s="2">
        <v>30.169490814208984</v>
      </c>
      <c r="AE90" s="2">
        <v>24.286144256591797</v>
      </c>
      <c r="AF90" s="2"/>
      <c r="AG90" s="34">
        <f t="shared" si="39"/>
        <v>298</v>
      </c>
      <c r="AH90" s="34" t="str" cm="1">
        <f t="array" ref="AH90">IF(AG90="NR**","NR**",INDEX(trust_indicator_data!$A$2:$BE$127,(ROW()-ROW(trust_indicator_data!$A$1:$BE$1)),MATCH(selected_indic_name_adj,trust_indicator_data!$A$1:$BE$1,0)))</f>
        <v>NRA*</v>
      </c>
      <c r="AI90" s="34" t="str">
        <f>IF(AG90="NR**","NR**",IF(AH90="NRA*","NRA*",RANK(AH90,AH:AH,1)+COUNTIF($AH$2:AH90,AH90)-1))</f>
        <v>NRA*</v>
      </c>
      <c r="AJ90" s="34" cm="1">
        <f t="array" ref="AJ90">IF(AG90="NR**","NR**",INDEX(trust_indicator_data!$A$2:$BE$127,(ROW()-ROW(trust_indicator_data!$A$1:$BE$1)),MATCH(selected_indic_name_unadj,trust_indicator_data!$A$1:$BE$1,0)))</f>
        <v>54.035087585449219</v>
      </c>
      <c r="AK90" s="34">
        <f>IF(AG90="NR**","NR**",RANK(trust_indicator_data!AJ90,AJ:AJ,1)+COUNTIF($AJ$2:AJ90,AJ90)-1)</f>
        <v>97</v>
      </c>
      <c r="AM90" s="34" cm="1">
        <f t="array" ref="AM90">IF(AQ90&lt;10,0,INDEX(trust_indicator_data!$A$2:$BE$127,(ROW()-ROW(trust_indicator_data!$A$1:$BE$1)),MATCH(selected_indic_name_unadj,trust_indicator_data!$A$1:$BE$1,0)))</f>
        <v>54.035087585449219</v>
      </c>
      <c r="AN90" s="34">
        <f t="shared" si="40"/>
        <v>97</v>
      </c>
      <c r="AP90" s="34">
        <f>RANK(trust_indicator_data!$AQ90,AQ:AQ,1)+COUNTIF($AQ$2:AQ90,AQ90)-1</f>
        <v>85</v>
      </c>
      <c r="AQ90" s="34" cm="1">
        <f t="array" ref="AQ90">INDEX(trust_indicator_data!$A$2:$BE$127,(ROW()-ROW(trust_indicator_data!$A$1:$BE$1)),MATCH(selected_indic_denom,trust_indicator_data!$A$1:$BE$1,0))</f>
        <v>298</v>
      </c>
      <c r="AR90" s="34" cm="1">
        <f t="array" ref="AR90">INDEX(trust_indicator_data!$A$2:$BE$127,(ROW()-ROW(trust_indicator_data!$A$1:$BE$1)),MATCH(selected_indic_name_unadj,trust_indicator_data!$A$1:$BE$1,0))/100</f>
        <v>0.54035087585449215</v>
      </c>
      <c r="AS90" s="34">
        <f>IF(AQ90&lt;10,NA(),trust_indicator_data!$AR90)</f>
        <v>0.54035087585449215</v>
      </c>
      <c r="AU90" s="34">
        <f>INDEX(table_national_indic,MATCH($AU$1,national_indicator_data!$A$1:$A$17,0),MATCH(selected_indic_name_unadj,national_indicator_data!$A$1:$R$1,0))</f>
        <v>0.47675243377685544</v>
      </c>
      <c r="AV90" s="34">
        <f>INDEX(table_national_indic,MATCH($AV$1,national_indicator_data!$A$1:$A$7,0),MATCH(selected_indic_name_unadj,national_indicator_data!$A$1:$R$1,0))</f>
        <v>0.76214221292766271</v>
      </c>
      <c r="AW90" s="34">
        <f t="shared" si="29"/>
        <v>0.70421376829131344</v>
      </c>
      <c r="AX90" s="34">
        <f t="shared" si="30"/>
        <v>0.82007065756401198</v>
      </c>
      <c r="AY90" s="34">
        <f t="shared" si="31"/>
        <v>0.67524954597313891</v>
      </c>
      <c r="AZ90" s="34">
        <f t="shared" si="32"/>
        <v>0.84903487988218651</v>
      </c>
      <c r="BA90" s="34">
        <f>INDEX(table_national_indic,MATCH($BA$1,national_indicator_data!$A$1:$A$7,0),MATCH(selected_indic_name_unadj,national_indicator_data!$A$1:$R$1,0))</f>
        <v>0</v>
      </c>
      <c r="BB90" s="34">
        <f t="shared" si="33"/>
        <v>0.41917185411346009</v>
      </c>
      <c r="BC90" s="34">
        <f t="shared" si="41"/>
        <v>0.53464471241832012</v>
      </c>
      <c r="BD90" s="34">
        <f t="shared" si="42"/>
        <v>0.39074015791645927</v>
      </c>
      <c r="BE90" s="34">
        <f t="shared" si="43"/>
        <v>0.56346505207033493</v>
      </c>
      <c r="BG90">
        <f t="shared" si="44"/>
        <v>89</v>
      </c>
      <c r="BH90">
        <f t="shared" si="34"/>
        <v>335</v>
      </c>
      <c r="BI90" s="42">
        <f t="shared" si="45"/>
        <v>0.53003532409667964</v>
      </c>
      <c r="BJ90" s="42">
        <f t="shared" si="46"/>
        <v>0.42242288407600131</v>
      </c>
      <c r="BK90" s="42">
        <f t="shared" si="47"/>
        <v>0.53135929026602269</v>
      </c>
      <c r="BL90" s="42">
        <f t="shared" si="48"/>
        <v>0.39556496110513595</v>
      </c>
      <c r="BM90" s="42">
        <f t="shared" si="49"/>
        <v>0.55856307090880852</v>
      </c>
      <c r="BN90" s="42">
        <f t="shared" si="50"/>
        <v>0.47675243377685544</v>
      </c>
    </row>
    <row r="91" spans="1:66" x14ac:dyDescent="0.25">
      <c r="A91" t="s">
        <v>302</v>
      </c>
      <c r="B91" t="s">
        <v>301</v>
      </c>
      <c r="C91" t="s">
        <v>30</v>
      </c>
      <c r="D91" t="s">
        <v>28</v>
      </c>
      <c r="E91" s="2">
        <v>198</v>
      </c>
      <c r="F91" s="2">
        <v>176</v>
      </c>
      <c r="G91" s="2">
        <v>21</v>
      </c>
      <c r="H91" s="2">
        <v>36</v>
      </c>
      <c r="I91" s="2">
        <v>47</v>
      </c>
      <c r="J91" s="2">
        <v>28</v>
      </c>
      <c r="K91" s="2">
        <v>12</v>
      </c>
      <c r="L91" s="2">
        <v>46.192893981933594</v>
      </c>
      <c r="M91" s="46" t="str">
        <f t="shared" si="35"/>
        <v>NRA*</v>
      </c>
      <c r="N91" s="2">
        <v>39.690723419189453</v>
      </c>
      <c r="O91" s="46" t="str">
        <f t="shared" si="36"/>
        <v>NRA*</v>
      </c>
      <c r="P91" s="2">
        <v>66.666664123535156</v>
      </c>
      <c r="Q91" s="46" t="str">
        <f t="shared" si="37"/>
        <v>NRA*</v>
      </c>
      <c r="R91" s="2">
        <v>12.5</v>
      </c>
      <c r="S91" s="2">
        <v>13.776057243347168</v>
      </c>
      <c r="T91" s="2">
        <v>66.666664123535156</v>
      </c>
      <c r="U91" s="4">
        <v>78.152885437011719</v>
      </c>
      <c r="V91" s="2">
        <v>87.234039306640625</v>
      </c>
      <c r="W91" s="2">
        <v>92.766258239746094</v>
      </c>
      <c r="X91" s="2">
        <v>58.333332061767578</v>
      </c>
      <c r="Y91" s="2">
        <v>77.602264404296875</v>
      </c>
      <c r="Z91" s="2">
        <v>67.857139587402344</v>
      </c>
      <c r="AA91" s="2">
        <v>63.207210540771484</v>
      </c>
      <c r="AB91" s="2">
        <v>93.243240356445313</v>
      </c>
      <c r="AC91" s="46" t="str">
        <f t="shared" si="38"/>
        <v>NRA*</v>
      </c>
      <c r="AD91" s="2">
        <v>38.578681945800781</v>
      </c>
      <c r="AE91" s="2">
        <v>35.358421325683594</v>
      </c>
      <c r="AF91" s="2"/>
      <c r="AG91" s="4">
        <f t="shared" si="39"/>
        <v>198</v>
      </c>
      <c r="AH91" s="4" t="str" cm="1">
        <f t="array" ref="AH91">IF(AG91="NR**","NR**",INDEX(trust_indicator_data!$A$2:$BE$127,(ROW()-ROW(trust_indicator_data!$A$1:$BE$1)),MATCH(selected_indic_name_adj,trust_indicator_data!$A$1:$BE$1,0)))</f>
        <v>NRA*</v>
      </c>
      <c r="AI91" s="4" t="str">
        <f>IF(AG91="NR**","NR**",IF(AH91="NRA*","NRA*",RANK(AH91,AH:AH,1)+COUNTIF($AH$2:AH91,AH91)-1))</f>
        <v>NRA*</v>
      </c>
      <c r="AJ91" s="4" cm="1">
        <f t="array" ref="AJ91">IF(AG91="NR**","NR**",INDEX(trust_indicator_data!$A$2:$BE$127,(ROW()-ROW(trust_indicator_data!$A$1:$BE$1)),MATCH(selected_indic_name_unadj,trust_indicator_data!$A$1:$BE$1,0)))</f>
        <v>46.192893981933594</v>
      </c>
      <c r="AK91" s="4">
        <f>IF(AG91="NR**","NR**",RANK(trust_indicator_data!AJ91,AJ:AJ,1)+COUNTIF($AJ$2:AJ91,AJ91)-1)</f>
        <v>43</v>
      </c>
      <c r="AM91" s="4" cm="1">
        <f t="array" ref="AM91">IF(AQ91&lt;10,0,INDEX(trust_indicator_data!$A$2:$BE$127,(ROW()-ROW(trust_indicator_data!$A$1:$BE$1)),MATCH(selected_indic_name_unadj,trust_indicator_data!$A$1:$BE$1,0)))</f>
        <v>46.192893981933594</v>
      </c>
      <c r="AN91" s="4">
        <f t="shared" si="40"/>
        <v>43</v>
      </c>
      <c r="AP91" s="4">
        <f>RANK(trust_indicator_data!$AQ91,AQ:AQ,1)+COUNTIF($AQ$2:AQ91,AQ91)-1</f>
        <v>42</v>
      </c>
      <c r="AQ91" s="4" cm="1">
        <f t="array" ref="AQ91">INDEX(trust_indicator_data!$A$2:$BE$127,(ROW()-ROW(trust_indicator_data!$A$1:$BE$1)),MATCH(selected_indic_denom,trust_indicator_data!$A$1:$BE$1,0))</f>
        <v>198</v>
      </c>
      <c r="AR91" s="4" cm="1">
        <f t="array" ref="AR91">INDEX(trust_indicator_data!$A$2:$BE$127,(ROW()-ROW(trust_indicator_data!$A$1:$BE$1)),MATCH(selected_indic_name_unadj,trust_indicator_data!$A$1:$BE$1,0))/100</f>
        <v>0.46192893981933592</v>
      </c>
      <c r="AS91" s="4">
        <f>IF(AQ91&lt;10,NA(),trust_indicator_data!$AR91)</f>
        <v>0.46192893981933592</v>
      </c>
      <c r="AU91" s="4">
        <f>INDEX(table_national_indic,MATCH($AU$1,national_indicator_data!$A$1:$A$17,0),MATCH(selected_indic_name_unadj,national_indicator_data!$A$1:$R$1,0))</f>
        <v>0.47675243377685544</v>
      </c>
      <c r="AV91" s="4">
        <f>INDEX(table_national_indic,MATCH($AV$1,national_indicator_data!$A$1:$A$7,0),MATCH(selected_indic_name_unadj,national_indicator_data!$A$1:$R$1,0))</f>
        <v>0.76214221292766271</v>
      </c>
      <c r="AW91" s="4">
        <f t="shared" si="29"/>
        <v>0.6910753074757926</v>
      </c>
      <c r="AX91" s="4">
        <f t="shared" si="30"/>
        <v>0.83320911837953282</v>
      </c>
      <c r="AY91" s="4">
        <f t="shared" si="31"/>
        <v>0.65554185474985749</v>
      </c>
      <c r="AZ91" s="4">
        <f t="shared" si="32"/>
        <v>0.86874257110546793</v>
      </c>
      <c r="BA91" s="4">
        <f>INDEX(table_national_indic,MATCH($BA$1,national_indicator_data!$A$1:$A$7,0),MATCH(selected_indic_name_unadj,national_indicator_data!$A$1:$R$1,0))</f>
        <v>0</v>
      </c>
      <c r="BB91" s="4">
        <f t="shared" si="33"/>
        <v>0.40623559725754421</v>
      </c>
      <c r="BC91" s="4">
        <f t="shared" si="41"/>
        <v>0.54773812797802224</v>
      </c>
      <c r="BD91" s="4">
        <f t="shared" si="42"/>
        <v>0.37159859124291861</v>
      </c>
      <c r="BE91" s="4">
        <f t="shared" si="43"/>
        <v>0.58295898724600148</v>
      </c>
      <c r="BG91">
        <f t="shared" si="44"/>
        <v>90</v>
      </c>
      <c r="BH91">
        <f t="shared" si="34"/>
        <v>336</v>
      </c>
      <c r="BI91" s="42">
        <f t="shared" si="45"/>
        <v>0.47666667938232421</v>
      </c>
      <c r="BJ91" s="42">
        <f t="shared" si="46"/>
        <v>0.42250326371872027</v>
      </c>
      <c r="BK91" s="42">
        <f t="shared" si="47"/>
        <v>0.53127808612441285</v>
      </c>
      <c r="BL91" s="42">
        <f t="shared" si="48"/>
        <v>0.3956843181657636</v>
      </c>
      <c r="BM91" s="42">
        <f t="shared" si="49"/>
        <v>0.55844186333377244</v>
      </c>
      <c r="BN91" s="42">
        <f t="shared" si="50"/>
        <v>0.47675243377685544</v>
      </c>
    </row>
    <row r="92" spans="1:66" x14ac:dyDescent="0.25">
      <c r="A92" t="s">
        <v>274</v>
      </c>
      <c r="B92" t="s">
        <v>273</v>
      </c>
      <c r="C92" t="s">
        <v>63</v>
      </c>
      <c r="D92" t="s">
        <v>61</v>
      </c>
      <c r="E92" s="2">
        <v>184</v>
      </c>
      <c r="F92" s="2">
        <v>167</v>
      </c>
      <c r="G92" s="2">
        <v>13</v>
      </c>
      <c r="H92" s="2">
        <v>39</v>
      </c>
      <c r="I92" s="2">
        <v>43</v>
      </c>
      <c r="J92" s="2">
        <v>38</v>
      </c>
      <c r="K92" s="2">
        <v>25</v>
      </c>
      <c r="L92" s="2">
        <v>42.857143402099609</v>
      </c>
      <c r="M92" s="46" t="str">
        <f t="shared" si="35"/>
        <v>NRA*</v>
      </c>
      <c r="N92" s="2">
        <v>56.666667938232422</v>
      </c>
      <c r="O92" s="46" t="str">
        <f t="shared" si="36"/>
        <v>NRA*</v>
      </c>
      <c r="P92" s="2">
        <v>76.923080444335938</v>
      </c>
      <c r="Q92" s="46" t="str">
        <f t="shared" si="37"/>
        <v>NRA*</v>
      </c>
      <c r="R92" s="2">
        <v>20.359281539916992</v>
      </c>
      <c r="S92" s="2">
        <v>18.468555450439453</v>
      </c>
      <c r="T92" s="2">
        <v>53.846153259277344</v>
      </c>
      <c r="U92" s="4">
        <v>68.402626037597656</v>
      </c>
      <c r="V92" s="2">
        <v>81.395347595214844</v>
      </c>
      <c r="W92" s="2">
        <v>82.805839538574219</v>
      </c>
      <c r="X92" s="2">
        <v>60</v>
      </c>
      <c r="Y92" s="2">
        <v>60.291900634765625</v>
      </c>
      <c r="Z92" s="2">
        <v>73.684211730957031</v>
      </c>
      <c r="AA92" s="2">
        <v>68.793556213378906</v>
      </c>
      <c r="AB92" s="2">
        <v>95.3125</v>
      </c>
      <c r="AC92" s="46" t="str">
        <f t="shared" si="38"/>
        <v>NRA*</v>
      </c>
      <c r="AD92" s="2">
        <v>32.240436553955078</v>
      </c>
      <c r="AE92" s="2">
        <v>36.832111358642578</v>
      </c>
      <c r="AF92" s="2"/>
      <c r="AG92" s="34">
        <f t="shared" si="39"/>
        <v>184</v>
      </c>
      <c r="AH92" s="34" t="str" cm="1">
        <f t="array" ref="AH92">IF(AG92="NR**","NR**",INDEX(trust_indicator_data!$A$2:$BE$127,(ROW()-ROW(trust_indicator_data!$A$1:$BE$1)),MATCH(selected_indic_name_adj,trust_indicator_data!$A$1:$BE$1,0)))</f>
        <v>NRA*</v>
      </c>
      <c r="AI92" s="34" t="str">
        <f>IF(AG92="NR**","NR**",IF(AH92="NRA*","NRA*",RANK(AH92,AH:AH,1)+COUNTIF($AH$2:AH92,AH92)-1))</f>
        <v>NRA*</v>
      </c>
      <c r="AJ92" s="34" cm="1">
        <f t="array" ref="AJ92">IF(AG92="NR**","NR**",INDEX(trust_indicator_data!$A$2:$BE$127,(ROW()-ROW(trust_indicator_data!$A$1:$BE$1)),MATCH(selected_indic_name_unadj,trust_indicator_data!$A$1:$BE$1,0)))</f>
        <v>42.857143402099609</v>
      </c>
      <c r="AK92" s="34">
        <f>IF(AG92="NR**","NR**",RANK(trust_indicator_data!AJ92,AJ:AJ,1)+COUNTIF($AJ$2:AJ92,AJ92)-1)</f>
        <v>27</v>
      </c>
      <c r="AM92" s="34" cm="1">
        <f t="array" ref="AM92">IF(AQ92&lt;10,0,INDEX(trust_indicator_data!$A$2:$BE$127,(ROW()-ROW(trust_indicator_data!$A$1:$BE$1)),MATCH(selected_indic_name_unadj,trust_indicator_data!$A$1:$BE$1,0)))</f>
        <v>42.857143402099609</v>
      </c>
      <c r="AN92" s="34">
        <f t="shared" si="40"/>
        <v>27</v>
      </c>
      <c r="AP92" s="34">
        <f>RANK(trust_indicator_data!$AQ92,AQ:AQ,1)+COUNTIF($AQ$2:AQ92,AQ92)-1</f>
        <v>35</v>
      </c>
      <c r="AQ92" s="34" cm="1">
        <f t="array" ref="AQ92">INDEX(trust_indicator_data!$A$2:$BE$127,(ROW()-ROW(trust_indicator_data!$A$1:$BE$1)),MATCH(selected_indic_denom,trust_indicator_data!$A$1:$BE$1,0))</f>
        <v>184</v>
      </c>
      <c r="AR92" s="34" cm="1">
        <f t="array" ref="AR92">INDEX(trust_indicator_data!$A$2:$BE$127,(ROW()-ROW(trust_indicator_data!$A$1:$BE$1)),MATCH(selected_indic_name_unadj,trust_indicator_data!$A$1:$BE$1,0))/100</f>
        <v>0.42857143402099607</v>
      </c>
      <c r="AS92" s="34">
        <f>IF(AQ92&lt;10,NA(),trust_indicator_data!$AR92)</f>
        <v>0.42857143402099607</v>
      </c>
      <c r="AU92" s="34">
        <f>INDEX(table_national_indic,MATCH($AU$1,national_indicator_data!$A$1:$A$17,0),MATCH(selected_indic_name_unadj,national_indicator_data!$A$1:$R$1,0))</f>
        <v>0.47675243377685544</v>
      </c>
      <c r="AV92" s="34">
        <f>INDEX(table_national_indic,MATCH($AV$1,national_indicator_data!$A$1:$A$7,0),MATCH(selected_indic_name_unadj,national_indicator_data!$A$1:$R$1,0))</f>
        <v>0.76214221292766271</v>
      </c>
      <c r="AW92" s="34">
        <f t="shared" si="29"/>
        <v>0.68842123485021411</v>
      </c>
      <c r="AX92" s="34">
        <f t="shared" si="30"/>
        <v>0.83586319100511131</v>
      </c>
      <c r="AY92" s="34">
        <f t="shared" si="31"/>
        <v>0.65156074581148982</v>
      </c>
      <c r="AZ92" s="34">
        <f t="shared" si="32"/>
        <v>0.8727236800438356</v>
      </c>
      <c r="BA92" s="34">
        <f>INDEX(table_national_indic,MATCH($BA$1,national_indicator_data!$A$1:$A$7,0),MATCH(selected_indic_name_unadj,national_indicator_data!$A$1:$R$1,0))</f>
        <v>0</v>
      </c>
      <c r="BB92" s="34">
        <f t="shared" si="33"/>
        <v>0.40362994347017633</v>
      </c>
      <c r="BC92" s="34">
        <f t="shared" si="41"/>
        <v>0.55037939107425893</v>
      </c>
      <c r="BD92" s="34">
        <f t="shared" si="42"/>
        <v>0.36775510425473351</v>
      </c>
      <c r="BE92" s="34">
        <f t="shared" si="43"/>
        <v>0.58688224511076093</v>
      </c>
      <c r="BG92">
        <f t="shared" si="44"/>
        <v>91</v>
      </c>
      <c r="BH92">
        <f t="shared" si="34"/>
        <v>337</v>
      </c>
      <c r="BI92" s="42">
        <f t="shared" si="45"/>
        <v>0.50925926208496097</v>
      </c>
      <c r="BJ92" s="42">
        <f t="shared" si="46"/>
        <v>0.42258328736106449</v>
      </c>
      <c r="BK92" s="42">
        <f t="shared" si="47"/>
        <v>0.53119724287150261</v>
      </c>
      <c r="BL92" s="42">
        <f t="shared" si="48"/>
        <v>0.39580314974237035</v>
      </c>
      <c r="BM92" s="42">
        <f t="shared" si="49"/>
        <v>0.55832119220055343</v>
      </c>
      <c r="BN92" s="42">
        <f t="shared" si="50"/>
        <v>0.47675243377685544</v>
      </c>
    </row>
    <row r="93" spans="1:66" x14ac:dyDescent="0.25">
      <c r="A93" t="s">
        <v>222</v>
      </c>
      <c r="B93" t="s">
        <v>221</v>
      </c>
      <c r="C93" t="s">
        <v>30</v>
      </c>
      <c r="D93" t="s">
        <v>28</v>
      </c>
      <c r="E93" s="2">
        <v>190</v>
      </c>
      <c r="F93" s="2">
        <v>161</v>
      </c>
      <c r="G93" s="2">
        <v>25</v>
      </c>
      <c r="H93" s="2">
        <v>22</v>
      </c>
      <c r="I93" s="2">
        <v>27</v>
      </c>
      <c r="J93" s="2">
        <v>30</v>
      </c>
      <c r="K93" s="2">
        <v>12</v>
      </c>
      <c r="L93" s="2">
        <v>45.625</v>
      </c>
      <c r="M93" s="46" t="str">
        <f t="shared" si="35"/>
        <v>NRA*</v>
      </c>
      <c r="N93" s="2">
        <v>44.767440795898438</v>
      </c>
      <c r="O93" s="46" t="str">
        <f t="shared" si="36"/>
        <v>NRA*</v>
      </c>
      <c r="P93" s="2">
        <v>81.818183898925781</v>
      </c>
      <c r="Q93" s="46" t="str">
        <f t="shared" si="37"/>
        <v>NRA*</v>
      </c>
      <c r="R93" s="2">
        <v>7.4534163475036621</v>
      </c>
      <c r="S93" s="2">
        <v>8.800537109375</v>
      </c>
      <c r="T93" s="2">
        <v>48</v>
      </c>
      <c r="U93" s="4">
        <v>47.497169494628906</v>
      </c>
      <c r="V93" s="2">
        <v>81.481483459472656</v>
      </c>
      <c r="W93" s="2">
        <v>81.615936279296875</v>
      </c>
      <c r="X93" s="2">
        <v>83.333335876464844</v>
      </c>
      <c r="Y93" s="2">
        <v>69.524871826171875</v>
      </c>
      <c r="Z93" s="2">
        <v>66.666664123535156</v>
      </c>
      <c r="AA93" s="2">
        <v>58.019977569580078</v>
      </c>
      <c r="AB93" s="2">
        <v>99.159660339355469</v>
      </c>
      <c r="AC93" s="46" t="str">
        <f t="shared" si="38"/>
        <v>NRA*</v>
      </c>
      <c r="AD93" s="2">
        <v>36.315788269042969</v>
      </c>
      <c r="AE93" s="2">
        <v>35.245513916015625</v>
      </c>
      <c r="AF93" s="2"/>
      <c r="AG93" s="4">
        <f t="shared" si="39"/>
        <v>190</v>
      </c>
      <c r="AH93" s="4" t="str" cm="1">
        <f t="array" ref="AH93">IF(AG93="NR**","NR**",INDEX(trust_indicator_data!$A$2:$BE$127,(ROW()-ROW(trust_indicator_data!$A$1:$BE$1)),MATCH(selected_indic_name_adj,trust_indicator_data!$A$1:$BE$1,0)))</f>
        <v>NRA*</v>
      </c>
      <c r="AI93" s="4" t="str">
        <f>IF(AG93="NR**","NR**",IF(AH93="NRA*","NRA*",RANK(AH93,AH:AH,1)+COUNTIF($AH$2:AH93,AH93)-1))</f>
        <v>NRA*</v>
      </c>
      <c r="AJ93" s="4" cm="1">
        <f t="array" ref="AJ93">IF(AG93="NR**","NR**",INDEX(trust_indicator_data!$A$2:$BE$127,(ROW()-ROW(trust_indicator_data!$A$1:$BE$1)),MATCH(selected_indic_name_unadj,trust_indicator_data!$A$1:$BE$1,0)))</f>
        <v>45.625</v>
      </c>
      <c r="AK93" s="4">
        <f>IF(AG93="NR**","NR**",RANK(trust_indicator_data!AJ93,AJ:AJ,1)+COUNTIF($AJ$2:AJ93,AJ93)-1)</f>
        <v>40</v>
      </c>
      <c r="AM93" s="4" cm="1">
        <f t="array" ref="AM93">IF(AQ93&lt;10,0,INDEX(trust_indicator_data!$A$2:$BE$127,(ROW()-ROW(trust_indicator_data!$A$1:$BE$1)),MATCH(selected_indic_name_unadj,trust_indicator_data!$A$1:$BE$1,0)))</f>
        <v>45.625</v>
      </c>
      <c r="AN93" s="4">
        <f t="shared" si="40"/>
        <v>40</v>
      </c>
      <c r="AP93" s="4">
        <f>RANK(trust_indicator_data!$AQ93,AQ:AQ,1)+COUNTIF($AQ$2:AQ93,AQ93)-1</f>
        <v>38</v>
      </c>
      <c r="AQ93" s="4" cm="1">
        <f t="array" ref="AQ93">INDEX(trust_indicator_data!$A$2:$BE$127,(ROW()-ROW(trust_indicator_data!$A$1:$BE$1)),MATCH(selected_indic_denom,trust_indicator_data!$A$1:$BE$1,0))</f>
        <v>190</v>
      </c>
      <c r="AR93" s="4" cm="1">
        <f t="array" ref="AR93">INDEX(trust_indicator_data!$A$2:$BE$127,(ROW()-ROW(trust_indicator_data!$A$1:$BE$1)),MATCH(selected_indic_name_unadj,trust_indicator_data!$A$1:$BE$1,0))/100</f>
        <v>0.45624999999999999</v>
      </c>
      <c r="AS93" s="4">
        <f>IF(AQ93&lt;10,NA(),trust_indicator_data!$AR93)</f>
        <v>0.45624999999999999</v>
      </c>
      <c r="AU93" s="4">
        <f>INDEX(table_national_indic,MATCH($AU$1,national_indicator_data!$A$1:$A$17,0),MATCH(selected_indic_name_unadj,national_indicator_data!$A$1:$R$1,0))</f>
        <v>0.47675243377685544</v>
      </c>
      <c r="AV93" s="4">
        <f>INDEX(table_national_indic,MATCH($AV$1,national_indicator_data!$A$1:$A$7,0),MATCH(selected_indic_name_unadj,national_indicator_data!$A$1:$R$1,0))</f>
        <v>0.76214221292766271</v>
      </c>
      <c r="AW93" s="4">
        <f t="shared" si="29"/>
        <v>0.68959458791666151</v>
      </c>
      <c r="AX93" s="4">
        <f t="shared" si="30"/>
        <v>0.83468983793866391</v>
      </c>
      <c r="AY93" s="4">
        <f t="shared" si="31"/>
        <v>0.65332077541116096</v>
      </c>
      <c r="AZ93" s="4">
        <f t="shared" si="32"/>
        <v>0.87096365044416446</v>
      </c>
      <c r="BA93" s="4">
        <f>INDEX(table_national_indic,MATCH($BA$1,national_indicator_data!$A$1:$A$7,0),MATCH(selected_indic_name_unadj,national_indicator_data!$A$1:$R$1,0))</f>
        <v>0</v>
      </c>
      <c r="BB93" s="4">
        <f t="shared" si="33"/>
        <v>0.40478156027858481</v>
      </c>
      <c r="BC93" s="4">
        <f t="shared" si="41"/>
        <v>0.54921187168838248</v>
      </c>
      <c r="BD93" s="4">
        <f t="shared" si="42"/>
        <v>0.3694532723391234</v>
      </c>
      <c r="BE93" s="4">
        <f t="shared" si="43"/>
        <v>0.58514845573342988</v>
      </c>
      <c r="BG93">
        <f t="shared" si="44"/>
        <v>92</v>
      </c>
      <c r="BH93">
        <f t="shared" si="34"/>
        <v>337</v>
      </c>
      <c r="BI93" s="42">
        <f t="shared" si="45"/>
        <v>0.43650794982910157</v>
      </c>
      <c r="BJ93" s="42">
        <f t="shared" si="46"/>
        <v>0.42258328736106449</v>
      </c>
      <c r="BK93" s="42">
        <f t="shared" si="47"/>
        <v>0.53119724287150261</v>
      </c>
      <c r="BL93" s="42">
        <f t="shared" si="48"/>
        <v>0.39580314974237035</v>
      </c>
      <c r="BM93" s="42">
        <f t="shared" si="49"/>
        <v>0.55832119220055343</v>
      </c>
      <c r="BN93" s="42">
        <f t="shared" si="50"/>
        <v>0.47675243377685544</v>
      </c>
    </row>
    <row r="94" spans="1:66" x14ac:dyDescent="0.25">
      <c r="A94" t="s">
        <v>126</v>
      </c>
      <c r="B94" t="s">
        <v>125</v>
      </c>
      <c r="C94" t="s">
        <v>30</v>
      </c>
      <c r="D94" t="s">
        <v>28</v>
      </c>
      <c r="E94" s="2">
        <v>57</v>
      </c>
      <c r="F94" s="2">
        <v>50</v>
      </c>
      <c r="G94" s="2">
        <v>2</v>
      </c>
      <c r="H94" s="2">
        <v>12</v>
      </c>
      <c r="I94" s="2">
        <v>13</v>
      </c>
      <c r="J94" s="2">
        <v>6</v>
      </c>
      <c r="K94" s="2">
        <v>2</v>
      </c>
      <c r="L94" s="2">
        <v>28.571428298950195</v>
      </c>
      <c r="M94" s="46" t="str">
        <f t="shared" si="35"/>
        <v>NRA*</v>
      </c>
      <c r="N94" s="2">
        <v>56.818180084228516</v>
      </c>
      <c r="O94" s="46" t="str">
        <f t="shared" si="36"/>
        <v>NRA*</v>
      </c>
      <c r="P94" s="2">
        <v>50</v>
      </c>
      <c r="Q94" s="46" t="str">
        <f t="shared" si="37"/>
        <v>NRA*</v>
      </c>
      <c r="R94" s="2">
        <v>4</v>
      </c>
      <c r="S94" s="2">
        <v>4.594548225402832</v>
      </c>
      <c r="T94" s="2"/>
      <c r="V94" s="2">
        <v>61.538459777832031</v>
      </c>
      <c r="W94" s="2">
        <v>74.3311767578125</v>
      </c>
      <c r="X94" s="2"/>
      <c r="Y94" s="2"/>
      <c r="Z94" s="2"/>
      <c r="AA94" s="2"/>
      <c r="AB94" s="2"/>
      <c r="AC94" s="46" t="str">
        <f t="shared" si="38"/>
        <v>NRA*</v>
      </c>
      <c r="AD94" s="2">
        <v>14.285714149475098</v>
      </c>
      <c r="AE94" s="2">
        <v>14.707807540893555</v>
      </c>
      <c r="AF94" s="2"/>
      <c r="AG94" s="34">
        <f t="shared" si="39"/>
        <v>57</v>
      </c>
      <c r="AH94" s="34" t="str" cm="1">
        <f t="array" ref="AH94">IF(AG94="NR**","NR**",INDEX(trust_indicator_data!$A$2:$BE$127,(ROW()-ROW(trust_indicator_data!$A$1:$BE$1)),MATCH(selected_indic_name_adj,trust_indicator_data!$A$1:$BE$1,0)))</f>
        <v>NRA*</v>
      </c>
      <c r="AI94" s="34" t="str">
        <f>IF(AG94="NR**","NR**",IF(AH94="NRA*","NRA*",RANK(AH94,AH:AH,1)+COUNTIF($AH$2:AH94,AH94)-1))</f>
        <v>NRA*</v>
      </c>
      <c r="AJ94" s="34" cm="1">
        <f t="array" ref="AJ94">IF(AG94="NR**","NR**",INDEX(trust_indicator_data!$A$2:$BE$127,(ROW()-ROW(trust_indicator_data!$A$1:$BE$1)),MATCH(selected_indic_name_unadj,trust_indicator_data!$A$1:$BE$1,0)))</f>
        <v>28.571428298950195</v>
      </c>
      <c r="AK94" s="34">
        <f>IF(AG94="NR**","NR**",RANK(trust_indicator_data!AJ94,AJ:AJ,1)+COUNTIF($AJ$2:AJ94,AJ94)-1)</f>
        <v>2</v>
      </c>
      <c r="AM94" s="34" cm="1">
        <f t="array" ref="AM94">IF(AQ94&lt;10,0,INDEX(trust_indicator_data!$A$2:$BE$127,(ROW()-ROW(trust_indicator_data!$A$1:$BE$1)),MATCH(selected_indic_name_unadj,trust_indicator_data!$A$1:$BE$1,0)))</f>
        <v>28.571428298950195</v>
      </c>
      <c r="AN94" s="34">
        <f t="shared" si="40"/>
        <v>2</v>
      </c>
      <c r="AP94" s="34">
        <f>RANK(trust_indicator_data!$AQ94,AQ:AQ,1)+COUNTIF($AQ$2:AQ94,AQ94)-1</f>
        <v>3</v>
      </c>
      <c r="AQ94" s="34" cm="1">
        <f t="array" ref="AQ94">INDEX(trust_indicator_data!$A$2:$BE$127,(ROW()-ROW(trust_indicator_data!$A$1:$BE$1)),MATCH(selected_indic_denom,trust_indicator_data!$A$1:$BE$1,0))</f>
        <v>57</v>
      </c>
      <c r="AR94" s="34" cm="1">
        <f t="array" ref="AR94">INDEX(trust_indicator_data!$A$2:$BE$127,(ROW()-ROW(trust_indicator_data!$A$1:$BE$1)),MATCH(selected_indic_name_unadj,trust_indicator_data!$A$1:$BE$1,0))/100</f>
        <v>0.28571428298950197</v>
      </c>
      <c r="AS94" s="34">
        <f>IF(AQ94&lt;10,NA(),trust_indicator_data!$AR94)</f>
        <v>0.28571428298950197</v>
      </c>
      <c r="AU94" s="34">
        <f>INDEX(table_national_indic,MATCH($AU$1,national_indicator_data!$A$1:$A$17,0),MATCH(selected_indic_name_unadj,national_indicator_data!$A$1:$R$1,0))</f>
        <v>0.47675243377685544</v>
      </c>
      <c r="AV94" s="34">
        <f>INDEX(table_national_indic,MATCH($AV$1,national_indicator_data!$A$1:$A$7,0),MATCH(selected_indic_name_unadj,national_indicator_data!$A$1:$R$1,0))</f>
        <v>0.76214221292766271</v>
      </c>
      <c r="AW94" s="34">
        <f t="shared" si="29"/>
        <v>0.62968897722115835</v>
      </c>
      <c r="AX94" s="34">
        <f t="shared" si="30"/>
        <v>0.89459544863416707</v>
      </c>
      <c r="AY94" s="34">
        <f t="shared" si="31"/>
        <v>0.56346235936790612</v>
      </c>
      <c r="AZ94" s="34">
        <f t="shared" si="32"/>
        <v>0.9608220664874193</v>
      </c>
      <c r="BA94" s="34">
        <f>INDEX(table_national_indic,MATCH($BA$1,national_indicator_data!$A$1:$A$7,0),MATCH(selected_indic_name_unadj,national_indicator_data!$A$1:$R$1,0))</f>
        <v>0</v>
      </c>
      <c r="BB94" s="34">
        <f t="shared" si="33"/>
        <v>0.34679545362945191</v>
      </c>
      <c r="BC94" s="34">
        <f t="shared" si="41"/>
        <v>0.60833130397047364</v>
      </c>
      <c r="BD94" s="34">
        <f t="shared" si="42"/>
        <v>0.28528044606387243</v>
      </c>
      <c r="BE94" s="34">
        <f t="shared" si="43"/>
        <v>0.6718470450590166</v>
      </c>
      <c r="BG94">
        <f t="shared" si="44"/>
        <v>93</v>
      </c>
      <c r="BH94">
        <f t="shared" si="34"/>
        <v>343</v>
      </c>
      <c r="BI94" s="42">
        <f t="shared" si="45"/>
        <v>0.45394737243652344</v>
      </c>
      <c r="BJ94" s="42">
        <f t="shared" si="46"/>
        <v>0.42305609811500006</v>
      </c>
      <c r="BK94" s="42">
        <f t="shared" si="47"/>
        <v>0.53071961471703821</v>
      </c>
      <c r="BL94" s="42">
        <f t="shared" si="48"/>
        <v>0.39650531669932304</v>
      </c>
      <c r="BM94" s="42">
        <f t="shared" si="49"/>
        <v>0.55760821266233596</v>
      </c>
      <c r="BN94" s="42">
        <f t="shared" si="50"/>
        <v>0.47675243377685544</v>
      </c>
    </row>
    <row r="95" spans="1:66" x14ac:dyDescent="0.25">
      <c r="A95" t="s">
        <v>150</v>
      </c>
      <c r="B95" t="s">
        <v>149</v>
      </c>
      <c r="C95" t="s">
        <v>18</v>
      </c>
      <c r="D95" t="s">
        <v>16</v>
      </c>
      <c r="E95" s="2">
        <v>26</v>
      </c>
      <c r="F95" s="2">
        <v>20</v>
      </c>
      <c r="G95" s="2">
        <v>6</v>
      </c>
      <c r="H95" s="2">
        <v>0</v>
      </c>
      <c r="I95" s="2">
        <v>0</v>
      </c>
      <c r="J95" s="2">
        <v>1</v>
      </c>
      <c r="K95" s="2">
        <v>0</v>
      </c>
      <c r="L95" s="2"/>
      <c r="M95" s="46" t="str">
        <f t="shared" si="35"/>
        <v>NRA*</v>
      </c>
      <c r="N95" s="2">
        <v>84.615386962890625</v>
      </c>
      <c r="O95" s="46" t="str">
        <f t="shared" si="36"/>
        <v>NRA*</v>
      </c>
      <c r="P95" s="2"/>
      <c r="Q95" s="46" t="str">
        <f t="shared" si="37"/>
        <v>NRA*</v>
      </c>
      <c r="R95" s="2">
        <v>0</v>
      </c>
      <c r="S95" s="2">
        <v>0</v>
      </c>
      <c r="T95" s="2"/>
      <c r="V95" s="2"/>
      <c r="W95" s="2"/>
      <c r="X95" s="2"/>
      <c r="Y95" s="2"/>
      <c r="Z95" s="2"/>
      <c r="AA95" s="2"/>
      <c r="AB95" s="2"/>
      <c r="AC95" s="46" t="str">
        <f t="shared" si="38"/>
        <v>NRA*</v>
      </c>
      <c r="AD95" s="2">
        <v>32</v>
      </c>
      <c r="AE95" s="2">
        <v>36.402698516845703</v>
      </c>
      <c r="AF95" s="2"/>
      <c r="AG95" s="4">
        <f t="shared" si="39"/>
        <v>26</v>
      </c>
      <c r="AH95" s="4" t="str" cm="1">
        <f t="array" ref="AH95">IF(AG95="NR**","NR**",INDEX(trust_indicator_data!$A$2:$BE$127,(ROW()-ROW(trust_indicator_data!$A$1:$BE$1)),MATCH(selected_indic_name_adj,trust_indicator_data!$A$1:$BE$1,0)))</f>
        <v>NRA*</v>
      </c>
      <c r="AI95" s="4" t="str">
        <f>IF(AG95="NR**","NR**",IF(AH95="NRA*","NRA*",RANK(AH95,AH:AH,1)+COUNTIF($AH$2:AH95,AH95)-1))</f>
        <v>NRA*</v>
      </c>
      <c r="AJ95" s="4" cm="1">
        <f t="array" ref="AJ95">IF(AG95="NR**","NR**",INDEX(trust_indicator_data!$A$2:$BE$127,(ROW()-ROW(trust_indicator_data!$A$1:$BE$1)),MATCH(selected_indic_name_unadj,trust_indicator_data!$A$1:$BE$1,0)))</f>
        <v>0</v>
      </c>
      <c r="AK95" s="4">
        <f>IF(AG95="NR**","NR**",RANK(trust_indicator_data!AJ95,AJ:AJ,1)+COUNTIF($AJ$2:AJ95,AJ95)-1)</f>
        <v>1</v>
      </c>
      <c r="AM95" s="4" cm="1">
        <f t="array" ref="AM95">IF(AQ95&lt;10,0,INDEX(trust_indicator_data!$A$2:$BE$127,(ROW()-ROW(trust_indicator_data!$A$1:$BE$1)),MATCH(selected_indic_name_unadj,trust_indicator_data!$A$1:$BE$1,0)))</f>
        <v>0</v>
      </c>
      <c r="AN95" s="4">
        <f t="shared" si="40"/>
        <v>1</v>
      </c>
      <c r="AP95" s="4">
        <f>RANK(trust_indicator_data!$AQ95,AQ:AQ,1)+COUNTIF($AQ$2:AQ95,AQ95)-1</f>
        <v>1</v>
      </c>
      <c r="AQ95" s="4" cm="1">
        <f t="array" ref="AQ95">INDEX(trust_indicator_data!$A$2:$BE$127,(ROW()-ROW(trust_indicator_data!$A$1:$BE$1)),MATCH(selected_indic_denom,trust_indicator_data!$A$1:$BE$1,0))</f>
        <v>26</v>
      </c>
      <c r="AR95" s="4" cm="1">
        <f t="array" ref="AR95">INDEX(trust_indicator_data!$A$2:$BE$127,(ROW()-ROW(trust_indicator_data!$A$1:$BE$1)),MATCH(selected_indic_name_unadj,trust_indicator_data!$A$1:$BE$1,0))/100</f>
        <v>0</v>
      </c>
      <c r="AS95" s="4">
        <f>IF(AQ95&lt;10,NA(),trust_indicator_data!$AR95)</f>
        <v>0</v>
      </c>
      <c r="AU95" s="4">
        <f>INDEX(table_national_indic,MATCH($AU$1,national_indicator_data!$A$1:$A$17,0),MATCH(selected_indic_name_unadj,national_indicator_data!$A$1:$R$1,0))</f>
        <v>0.47675243377685544</v>
      </c>
      <c r="AV95" s="4">
        <f>INDEX(table_national_indic,MATCH($AV$1,national_indicator_data!$A$1:$A$7,0),MATCH(selected_indic_name_unadj,national_indicator_data!$A$1:$R$1,0))</f>
        <v>0.76214221292766271</v>
      </c>
      <c r="AW95" s="4">
        <f t="shared" si="29"/>
        <v>0.56602607778947867</v>
      </c>
      <c r="AX95" s="4">
        <f t="shared" si="30"/>
        <v>0.95825834806584675</v>
      </c>
      <c r="AY95" s="4">
        <f t="shared" si="31"/>
        <v>0.46796801022038664</v>
      </c>
      <c r="AZ95" s="4">
        <f t="shared" si="32"/>
        <v>1.0563164156349387</v>
      </c>
      <c r="BA95" s="4">
        <f>INDEX(table_national_indic,MATCH($BA$1,national_indicator_data!$A$1:$A$7,0),MATCH(selected_indic_name_unadj,national_indicator_data!$A$1:$R$1,0))</f>
        <v>0</v>
      </c>
      <c r="BB95" s="4">
        <f t="shared" si="33"/>
        <v>0.28759854184611461</v>
      </c>
      <c r="BC95" s="4">
        <f t="shared" si="41"/>
        <v>0.66943725566914825</v>
      </c>
      <c r="BD95" s="4">
        <f t="shared" si="42"/>
        <v>0.2034674774160101</v>
      </c>
      <c r="BE95" s="4">
        <f t="shared" si="43"/>
        <v>0.75785515478685761</v>
      </c>
      <c r="BG95">
        <f t="shared" si="44"/>
        <v>94</v>
      </c>
      <c r="BH95">
        <f t="shared" si="34"/>
        <v>346</v>
      </c>
      <c r="BI95" s="42">
        <f t="shared" si="45"/>
        <v>0.5166051483154297</v>
      </c>
      <c r="BJ95" s="42">
        <f t="shared" si="46"/>
        <v>0.42328790385509762</v>
      </c>
      <c r="BK95" s="42">
        <f t="shared" si="47"/>
        <v>0.53048546287032106</v>
      </c>
      <c r="BL95" s="42">
        <f t="shared" si="48"/>
        <v>0.39684960902953476</v>
      </c>
      <c r="BM95" s="42">
        <f t="shared" si="49"/>
        <v>0.55725865436217936</v>
      </c>
      <c r="BN95" s="42">
        <f t="shared" si="50"/>
        <v>0.47675243377685544</v>
      </c>
    </row>
    <row r="96" spans="1:66" x14ac:dyDescent="0.25">
      <c r="A96" t="s">
        <v>230</v>
      </c>
      <c r="B96" t="s">
        <v>229</v>
      </c>
      <c r="C96" t="s">
        <v>74</v>
      </c>
      <c r="D96" t="s">
        <v>72</v>
      </c>
      <c r="E96" s="2">
        <v>179</v>
      </c>
      <c r="F96" s="2">
        <v>151</v>
      </c>
      <c r="G96" s="2">
        <v>24</v>
      </c>
      <c r="H96" s="2">
        <v>8</v>
      </c>
      <c r="I96" s="2">
        <v>11</v>
      </c>
      <c r="J96" s="2">
        <v>23</v>
      </c>
      <c r="K96" s="2">
        <v>12</v>
      </c>
      <c r="L96" s="2">
        <v>50.735294342041016</v>
      </c>
      <c r="M96" s="46" t="str">
        <f t="shared" si="35"/>
        <v>NRA*</v>
      </c>
      <c r="N96" s="2">
        <v>42.96875</v>
      </c>
      <c r="O96" s="46" t="str">
        <f t="shared" si="36"/>
        <v>NRA*</v>
      </c>
      <c r="P96" s="2"/>
      <c r="Q96" s="46" t="str">
        <f t="shared" si="37"/>
        <v>NRA*</v>
      </c>
      <c r="R96" s="2">
        <v>13.907284736633301</v>
      </c>
      <c r="S96" s="2">
        <v>27.921600341796875</v>
      </c>
      <c r="T96" s="2">
        <v>50</v>
      </c>
      <c r="U96" s="4">
        <v>45.40533447265625</v>
      </c>
      <c r="V96" s="2">
        <v>63.636363983154297</v>
      </c>
      <c r="W96" s="2">
        <v>71.392250061035156</v>
      </c>
      <c r="X96" s="2">
        <v>66.666664123535156</v>
      </c>
      <c r="Y96" s="2">
        <v>76.620704650878906</v>
      </c>
      <c r="Z96" s="2">
        <v>52.173912048339844</v>
      </c>
      <c r="AA96" s="2">
        <v>54.779388427734375</v>
      </c>
      <c r="AB96" s="2">
        <v>97.7528076171875</v>
      </c>
      <c r="AC96" s="46" t="str">
        <f t="shared" si="38"/>
        <v>NRA*</v>
      </c>
      <c r="AD96" s="2">
        <v>52</v>
      </c>
      <c r="AE96" s="2">
        <v>46.889991760253906</v>
      </c>
      <c r="AF96" s="2"/>
      <c r="AG96" s="34">
        <f t="shared" si="39"/>
        <v>179</v>
      </c>
      <c r="AH96" s="34" t="str" cm="1">
        <f t="array" ref="AH96">IF(AG96="NR**","NR**",INDEX(trust_indicator_data!$A$2:$BE$127,(ROW()-ROW(trust_indicator_data!$A$1:$BE$1)),MATCH(selected_indic_name_adj,trust_indicator_data!$A$1:$BE$1,0)))</f>
        <v>NRA*</v>
      </c>
      <c r="AI96" s="34" t="str">
        <f>IF(AG96="NR**","NR**",IF(AH96="NRA*","NRA*",RANK(AH96,AH:AH,1)+COUNTIF($AH$2:AH96,AH96)-1))</f>
        <v>NRA*</v>
      </c>
      <c r="AJ96" s="34" cm="1">
        <f t="array" ref="AJ96">IF(AG96="NR**","NR**",INDEX(trust_indicator_data!$A$2:$BE$127,(ROW()-ROW(trust_indicator_data!$A$1:$BE$1)),MATCH(selected_indic_name_unadj,trust_indicator_data!$A$1:$BE$1,0)))</f>
        <v>50.735294342041016</v>
      </c>
      <c r="AK96" s="34">
        <f>IF(AG96="NR**","NR**",RANK(trust_indicator_data!AJ96,AJ:AJ,1)+COUNTIF($AJ$2:AJ96,AJ96)-1)</f>
        <v>73</v>
      </c>
      <c r="AM96" s="34" cm="1">
        <f t="array" ref="AM96">IF(AQ96&lt;10,0,INDEX(trust_indicator_data!$A$2:$BE$127,(ROW()-ROW(trust_indicator_data!$A$1:$BE$1)),MATCH(selected_indic_name_unadj,trust_indicator_data!$A$1:$BE$1,0)))</f>
        <v>50.735294342041016</v>
      </c>
      <c r="AN96" s="34">
        <f t="shared" si="40"/>
        <v>73</v>
      </c>
      <c r="AP96" s="34">
        <f>RANK(trust_indicator_data!$AQ96,AQ:AQ,1)+COUNTIF($AQ$2:AQ96,AQ96)-1</f>
        <v>34</v>
      </c>
      <c r="AQ96" s="34" cm="1">
        <f t="array" ref="AQ96">INDEX(trust_indicator_data!$A$2:$BE$127,(ROW()-ROW(trust_indicator_data!$A$1:$BE$1)),MATCH(selected_indic_denom,trust_indicator_data!$A$1:$BE$1,0))</f>
        <v>179</v>
      </c>
      <c r="AR96" s="34" cm="1">
        <f t="array" ref="AR96">INDEX(trust_indicator_data!$A$2:$BE$127,(ROW()-ROW(trust_indicator_data!$A$1:$BE$1)),MATCH(selected_indic_name_unadj,trust_indicator_data!$A$1:$BE$1,0))/100</f>
        <v>0.50735294342041015</v>
      </c>
      <c r="AS96" s="34">
        <f>IF(AQ96&lt;10,NA(),trust_indicator_data!$AR96)</f>
        <v>0.50735294342041015</v>
      </c>
      <c r="AU96" s="34">
        <f>INDEX(table_national_indic,MATCH($AU$1,national_indicator_data!$A$1:$A$17,0),MATCH(selected_indic_name_unadj,national_indicator_data!$A$1:$R$1,0))</f>
        <v>0.47675243377685544</v>
      </c>
      <c r="AV96" s="34">
        <f>INDEX(table_national_indic,MATCH($AV$1,national_indicator_data!$A$1:$A$7,0),MATCH(selected_indic_name_unadj,national_indicator_data!$A$1:$R$1,0))</f>
        <v>0.76214221292766271</v>
      </c>
      <c r="AW96" s="34">
        <f t="shared" si="29"/>
        <v>0.68739870365246913</v>
      </c>
      <c r="AX96" s="34">
        <f t="shared" si="30"/>
        <v>0.83688572220285629</v>
      </c>
      <c r="AY96" s="34">
        <f t="shared" si="31"/>
        <v>0.65002694901487235</v>
      </c>
      <c r="AZ96" s="34">
        <f t="shared" si="32"/>
        <v>0.87425747684045307</v>
      </c>
      <c r="BA96" s="34">
        <f>INDEX(table_national_indic,MATCH($BA$1,national_indicator_data!$A$1:$A$7,0),MATCH(selected_indic_name_unadj,national_indicator_data!$A$1:$R$1,0))</f>
        <v>0</v>
      </c>
      <c r="BB96" s="34">
        <f t="shared" si="33"/>
        <v>0.40262678711843553</v>
      </c>
      <c r="BC96" s="34">
        <f t="shared" si="41"/>
        <v>0.55139661243304139</v>
      </c>
      <c r="BD96" s="34">
        <f t="shared" si="42"/>
        <v>0.36627655282583371</v>
      </c>
      <c r="BE96" s="34">
        <f t="shared" si="43"/>
        <v>0.58839229746479826</v>
      </c>
      <c r="BG96">
        <f t="shared" si="44"/>
        <v>95</v>
      </c>
      <c r="BH96">
        <f t="shared" si="34"/>
        <v>348</v>
      </c>
      <c r="BI96" s="42">
        <f t="shared" si="45"/>
        <v>0.37269371032714843</v>
      </c>
      <c r="BJ96" s="42">
        <f t="shared" si="46"/>
        <v>0.42344078218220482</v>
      </c>
      <c r="BK96" s="42">
        <f t="shared" si="47"/>
        <v>0.53033104292287803</v>
      </c>
      <c r="BL96" s="42">
        <f t="shared" si="48"/>
        <v>0.39707668768518167</v>
      </c>
      <c r="BM96" s="42">
        <f t="shared" si="49"/>
        <v>0.55702811539132935</v>
      </c>
      <c r="BN96" s="42">
        <f t="shared" si="50"/>
        <v>0.47675243377685544</v>
      </c>
    </row>
    <row r="97" spans="1:66" x14ac:dyDescent="0.25">
      <c r="A97" t="s">
        <v>110</v>
      </c>
      <c r="B97" t="s">
        <v>109</v>
      </c>
      <c r="C97" t="s">
        <v>512</v>
      </c>
      <c r="D97" t="s">
        <v>70</v>
      </c>
      <c r="E97" s="2">
        <v>107</v>
      </c>
      <c r="F97" s="2">
        <v>99</v>
      </c>
      <c r="G97" s="2">
        <v>6</v>
      </c>
      <c r="H97" s="2">
        <v>11</v>
      </c>
      <c r="I97" s="2">
        <v>14</v>
      </c>
      <c r="J97" s="2">
        <v>27</v>
      </c>
      <c r="K97" s="2">
        <v>7</v>
      </c>
      <c r="L97" s="2">
        <v>62.244899749755859</v>
      </c>
      <c r="M97" s="46" t="str">
        <f t="shared" si="35"/>
        <v>NRA*</v>
      </c>
      <c r="N97" s="2">
        <v>49.473682403564453</v>
      </c>
      <c r="O97" s="46" t="str">
        <f t="shared" si="36"/>
        <v>NRA*</v>
      </c>
      <c r="P97" s="2">
        <v>81.818183898925781</v>
      </c>
      <c r="Q97" s="46" t="str">
        <f t="shared" si="37"/>
        <v>NRA*</v>
      </c>
      <c r="R97" s="2">
        <v>15.151515007019043</v>
      </c>
      <c r="S97" s="2">
        <v>27.372922897338867</v>
      </c>
      <c r="T97" s="2"/>
      <c r="V97" s="2">
        <v>85.714286804199219</v>
      </c>
      <c r="W97" s="2">
        <v>93.508987426757813</v>
      </c>
      <c r="X97" s="2"/>
      <c r="Y97" s="2"/>
      <c r="Z97" s="2">
        <v>44.444442749023438</v>
      </c>
      <c r="AA97" s="2">
        <v>70.318084716796875</v>
      </c>
      <c r="AB97" s="2">
        <v>100</v>
      </c>
      <c r="AC97" s="46" t="str">
        <f t="shared" si="38"/>
        <v>NRA*</v>
      </c>
      <c r="AD97" s="2">
        <v>48.598129272460938</v>
      </c>
      <c r="AE97" s="2">
        <v>42.761650085449219</v>
      </c>
      <c r="AF97" s="2"/>
      <c r="AG97" s="4">
        <f t="shared" si="39"/>
        <v>107</v>
      </c>
      <c r="AH97" s="4" t="str" cm="1">
        <f t="array" ref="AH97">IF(AG97="NR**","NR**",INDEX(trust_indicator_data!$A$2:$BE$127,(ROW()-ROW(trust_indicator_data!$A$1:$BE$1)),MATCH(selected_indic_name_adj,trust_indicator_data!$A$1:$BE$1,0)))</f>
        <v>NRA*</v>
      </c>
      <c r="AI97" s="4" t="str">
        <f>IF(AG97="NR**","NR**",IF(AH97="NRA*","NRA*",RANK(AH97,AH:AH,1)+COUNTIF($AH$2:AH97,AH97)-1))</f>
        <v>NRA*</v>
      </c>
      <c r="AJ97" s="4" cm="1">
        <f t="array" ref="AJ97">IF(AG97="NR**","NR**",INDEX(trust_indicator_data!$A$2:$BE$127,(ROW()-ROW(trust_indicator_data!$A$1:$BE$1)),MATCH(selected_indic_name_unadj,trust_indicator_data!$A$1:$BE$1,0)))</f>
        <v>62.244899749755859</v>
      </c>
      <c r="AK97" s="4">
        <f>IF(AG97="NR**","NR**",RANK(trust_indicator_data!AJ97,AJ:AJ,1)+COUNTIF($AJ$2:AJ97,AJ97)-1)</f>
        <v>121</v>
      </c>
      <c r="AM97" s="4" cm="1">
        <f t="array" ref="AM97">IF(AQ97&lt;10,0,INDEX(trust_indicator_data!$A$2:$BE$127,(ROW()-ROW(trust_indicator_data!$A$1:$BE$1)),MATCH(selected_indic_name_unadj,trust_indicator_data!$A$1:$BE$1,0)))</f>
        <v>62.244899749755859</v>
      </c>
      <c r="AN97" s="4">
        <f t="shared" si="40"/>
        <v>121</v>
      </c>
      <c r="AP97" s="4">
        <f>RANK(trust_indicator_data!$AQ97,AQ:AQ,1)+COUNTIF($AQ$2:AQ97,AQ97)-1</f>
        <v>9</v>
      </c>
      <c r="AQ97" s="4" cm="1">
        <f t="array" ref="AQ97">INDEX(trust_indicator_data!$A$2:$BE$127,(ROW()-ROW(trust_indicator_data!$A$1:$BE$1)),MATCH(selected_indic_denom,trust_indicator_data!$A$1:$BE$1,0))</f>
        <v>107</v>
      </c>
      <c r="AR97" s="4" cm="1">
        <f t="array" ref="AR97">INDEX(trust_indicator_data!$A$2:$BE$127,(ROW()-ROW(trust_indicator_data!$A$1:$BE$1)),MATCH(selected_indic_name_unadj,trust_indicator_data!$A$1:$BE$1,0))/100</f>
        <v>0.62244899749755855</v>
      </c>
      <c r="AS97" s="4">
        <f>IF(AQ97&lt;10,NA(),trust_indicator_data!$AR97)</f>
        <v>0.62244899749755855</v>
      </c>
      <c r="AU97" s="4">
        <f>INDEX(table_national_indic,MATCH($AU$1,national_indicator_data!$A$1:$A$17,0),MATCH(selected_indic_name_unadj,national_indicator_data!$A$1:$R$1,0))</f>
        <v>0.47675243377685544</v>
      </c>
      <c r="AV97" s="4">
        <f>INDEX(table_national_indic,MATCH($AV$1,national_indicator_data!$A$1:$A$7,0),MATCH(selected_indic_name_unadj,national_indicator_data!$A$1:$R$1,0))</f>
        <v>0.76214221292766271</v>
      </c>
      <c r="AW97" s="4">
        <f t="shared" si="29"/>
        <v>0.6654685640230964</v>
      </c>
      <c r="AX97" s="4">
        <f t="shared" si="30"/>
        <v>0.85881586183222902</v>
      </c>
      <c r="AY97" s="4">
        <f t="shared" si="31"/>
        <v>0.61713173957081313</v>
      </c>
      <c r="AZ97" s="4">
        <f t="shared" si="32"/>
        <v>0.90715268628451229</v>
      </c>
      <c r="BA97" s="4">
        <f>INDEX(table_national_indic,MATCH($BA$1,national_indicator_data!$A$1:$A$7,0),MATCH(selected_indic_name_unadj,national_indicator_data!$A$1:$R$1,0))</f>
        <v>0</v>
      </c>
      <c r="BB97" s="4">
        <f t="shared" si="33"/>
        <v>0.38121707076546524</v>
      </c>
      <c r="BC97" s="4">
        <f t="shared" si="41"/>
        <v>0.57315416067924108</v>
      </c>
      <c r="BD97" s="4">
        <f t="shared" si="42"/>
        <v>0.33489178990385099</v>
      </c>
      <c r="BE97" s="4">
        <f t="shared" si="43"/>
        <v>0.62055481269277113</v>
      </c>
      <c r="BG97">
        <f t="shared" si="44"/>
        <v>96</v>
      </c>
      <c r="BH97">
        <f t="shared" si="34"/>
        <v>350</v>
      </c>
      <c r="BI97" s="42">
        <f t="shared" si="45"/>
        <v>0.32580646514892581</v>
      </c>
      <c r="BJ97" s="42">
        <f t="shared" si="46"/>
        <v>0.42359235547992441</v>
      </c>
      <c r="BK97" s="42">
        <f t="shared" si="47"/>
        <v>0.53017794560654796</v>
      </c>
      <c r="BL97" s="42">
        <f t="shared" si="48"/>
        <v>0.39730183904697969</v>
      </c>
      <c r="BM97" s="42">
        <f t="shared" si="49"/>
        <v>0.55679954317589797</v>
      </c>
      <c r="BN97" s="42">
        <f t="shared" si="50"/>
        <v>0.47675243377685544</v>
      </c>
    </row>
    <row r="98" spans="1:66" x14ac:dyDescent="0.25">
      <c r="A98" t="s">
        <v>262</v>
      </c>
      <c r="B98" t="s">
        <v>261</v>
      </c>
      <c r="C98" t="s">
        <v>48</v>
      </c>
      <c r="D98" t="s">
        <v>46</v>
      </c>
      <c r="E98" s="2">
        <v>366</v>
      </c>
      <c r="F98" s="2">
        <v>326</v>
      </c>
      <c r="G98" s="2">
        <v>26</v>
      </c>
      <c r="H98" s="2">
        <v>67</v>
      </c>
      <c r="I98" s="2">
        <v>89</v>
      </c>
      <c r="J98" s="2">
        <v>50</v>
      </c>
      <c r="K98" s="2">
        <v>33</v>
      </c>
      <c r="L98" s="2">
        <v>37.878787994384766</v>
      </c>
      <c r="M98" s="46" t="str">
        <f t="shared" si="35"/>
        <v>NRA*</v>
      </c>
      <c r="N98" s="2">
        <v>51.74603271484375</v>
      </c>
      <c r="O98" s="46" t="str">
        <f t="shared" si="36"/>
        <v>NRA*</v>
      </c>
      <c r="P98" s="2">
        <v>88.059700012207031</v>
      </c>
      <c r="Q98" s="46" t="str">
        <f t="shared" si="37"/>
        <v>NRA*</v>
      </c>
      <c r="R98" s="2">
        <v>23.619632720947266</v>
      </c>
      <c r="S98" s="2">
        <v>21.641075134277344</v>
      </c>
      <c r="T98" s="2">
        <v>84.615386962890625</v>
      </c>
      <c r="U98" s="4">
        <v>84.496437072753906</v>
      </c>
      <c r="V98" s="2">
        <v>87.640449523925781</v>
      </c>
      <c r="W98" s="2">
        <v>90.375289916992188</v>
      </c>
      <c r="X98" s="2">
        <v>72.727272033691406</v>
      </c>
      <c r="Y98" s="2">
        <v>73.049964904785156</v>
      </c>
      <c r="Z98" s="2">
        <v>72</v>
      </c>
      <c r="AA98" s="2">
        <v>70.872299194335938</v>
      </c>
      <c r="AB98" s="2">
        <v>99.152542114257813</v>
      </c>
      <c r="AC98" s="46" t="str">
        <f t="shared" si="38"/>
        <v>NRA*</v>
      </c>
      <c r="AD98" s="2">
        <v>27.247190475463867</v>
      </c>
      <c r="AE98" s="2">
        <v>29.024587631225586</v>
      </c>
      <c r="AF98" s="2"/>
      <c r="AG98" s="34">
        <f t="shared" si="39"/>
        <v>366</v>
      </c>
      <c r="AH98" s="34" t="str" cm="1">
        <f t="array" ref="AH98">IF(AG98="NR**","NR**",INDEX(trust_indicator_data!$A$2:$BE$127,(ROW()-ROW(trust_indicator_data!$A$1:$BE$1)),MATCH(selected_indic_name_adj,trust_indicator_data!$A$1:$BE$1,0)))</f>
        <v>NRA*</v>
      </c>
      <c r="AI98" s="34" t="str">
        <f>IF(AG98="NR**","NR**",IF(AH98="NRA*","NRA*",RANK(AH98,AH:AH,1)+COUNTIF($AH$2:AH98,AH98)-1))</f>
        <v>NRA*</v>
      </c>
      <c r="AJ98" s="34" cm="1">
        <f t="array" ref="AJ98">IF(AG98="NR**","NR**",INDEX(trust_indicator_data!$A$2:$BE$127,(ROW()-ROW(trust_indicator_data!$A$1:$BE$1)),MATCH(selected_indic_name_unadj,trust_indicator_data!$A$1:$BE$1,0)))</f>
        <v>37.878787994384766</v>
      </c>
      <c r="AK98" s="34">
        <f>IF(AG98="NR**","NR**",RANK(trust_indicator_data!AJ98,AJ:AJ,1)+COUNTIF($AJ$2:AJ98,AJ98)-1)</f>
        <v>13</v>
      </c>
      <c r="AM98" s="34" cm="1">
        <f t="array" ref="AM98">IF(AQ98&lt;10,0,INDEX(trust_indicator_data!$A$2:$BE$127,(ROW()-ROW(trust_indicator_data!$A$1:$BE$1)),MATCH(selected_indic_name_unadj,trust_indicator_data!$A$1:$BE$1,0)))</f>
        <v>37.878787994384766</v>
      </c>
      <c r="AN98" s="34">
        <f t="shared" si="40"/>
        <v>13</v>
      </c>
      <c r="AP98" s="34">
        <f>RANK(trust_indicator_data!$AQ98,AQ:AQ,1)+COUNTIF($AQ$2:AQ98,AQ98)-1</f>
        <v>101</v>
      </c>
      <c r="AQ98" s="34" cm="1">
        <f t="array" ref="AQ98">INDEX(trust_indicator_data!$A$2:$BE$127,(ROW()-ROW(trust_indicator_data!$A$1:$BE$1)),MATCH(selected_indic_denom,trust_indicator_data!$A$1:$BE$1,0))</f>
        <v>366</v>
      </c>
      <c r="AR98" s="34" cm="1">
        <f t="array" ref="AR98">INDEX(trust_indicator_data!$A$2:$BE$127,(ROW()-ROW(trust_indicator_data!$A$1:$BE$1)),MATCH(selected_indic_name_unadj,trust_indicator_data!$A$1:$BE$1,0))/100</f>
        <v>0.37878787994384766</v>
      </c>
      <c r="AS98" s="34">
        <f>IF(AQ98&lt;10,NA(),trust_indicator_data!$AR98)</f>
        <v>0.37878787994384766</v>
      </c>
      <c r="AU98" s="34">
        <f>INDEX(table_national_indic,MATCH($AU$1,national_indicator_data!$A$1:$A$17,0),MATCH(selected_indic_name_unadj,national_indicator_data!$A$1:$R$1,0))</f>
        <v>0.47675243377685544</v>
      </c>
      <c r="AV98" s="34">
        <f>INDEX(table_national_indic,MATCH($AV$1,national_indicator_data!$A$1:$A$7,0),MATCH(selected_indic_name_unadj,national_indicator_data!$A$1:$R$1,0))</f>
        <v>0.76214221292766271</v>
      </c>
      <c r="AW98" s="34">
        <f t="shared" ref="AW98:AW127" si="51">MAX(0,$AV98-2*1/SQRT(4*$AQ98))</f>
        <v>0.70987137557873103</v>
      </c>
      <c r="AX98" s="34">
        <f t="shared" ref="AX98:AX127" si="52">MAX(0,$AV98+2*1/SQRT(4*$AQ98))</f>
        <v>0.81441305027659439</v>
      </c>
      <c r="AY98" s="34">
        <f t="shared" ref="AY98:AY127" si="53">MAX(0,$AV98-3*1/SQRT(4*$AQ98))</f>
        <v>0.68373595690426525</v>
      </c>
      <c r="AZ98" s="34">
        <f t="shared" ref="AZ98:AZ127" si="54">MAX(0,$AV98+3*1/SQRT(4*$AQ98))</f>
        <v>0.84054846895106017</v>
      </c>
      <c r="BA98" s="34">
        <f>INDEX(table_national_indic,MATCH($BA$1,national_indicator_data!$A$1:$A$7,0),MATCH(selected_indic_name_unadj,national_indicator_data!$A$1:$R$1,0))</f>
        <v>0</v>
      </c>
      <c r="BB98" s="34">
        <f t="shared" ref="BB98:BB127" si="55">IF($AQ98&lt;2,1,IF(BA98=-1,1-SIN(AW98)^2,SIN(AW98)^2))</f>
        <v>0.42476010277009274</v>
      </c>
      <c r="BC98" s="34">
        <f t="shared" si="41"/>
        <v>0.52899860523485254</v>
      </c>
      <c r="BD98" s="34">
        <f t="shared" si="42"/>
        <v>0.39903681348273845</v>
      </c>
      <c r="BE98" s="34">
        <f t="shared" si="43"/>
        <v>0.55503854505782169</v>
      </c>
      <c r="BG98">
        <f t="shared" si="44"/>
        <v>97</v>
      </c>
      <c r="BH98">
        <f t="shared" ref="BH98:BH127" si="56">IF(ISNA(VLOOKUP($BG98,$AP$2:$AS$127,2,FALSE)),$BH$1,VLOOKUP($BG98,$AP$2:$AS$127,2,FALSE))</f>
        <v>350</v>
      </c>
      <c r="BI98" s="42">
        <f t="shared" si="45"/>
        <v>0.49541282653808594</v>
      </c>
      <c r="BJ98" s="42">
        <f t="shared" si="46"/>
        <v>0.42359235547992441</v>
      </c>
      <c r="BK98" s="42">
        <f t="shared" si="47"/>
        <v>0.53017794560654796</v>
      </c>
      <c r="BL98" s="42">
        <f t="shared" si="48"/>
        <v>0.39730183904697969</v>
      </c>
      <c r="BM98" s="42">
        <f t="shared" si="49"/>
        <v>0.55679954317589797</v>
      </c>
      <c r="BN98" s="42">
        <f t="shared" si="50"/>
        <v>0.47675243377685544</v>
      </c>
    </row>
    <row r="99" spans="1:66" x14ac:dyDescent="0.25">
      <c r="A99" t="s">
        <v>248</v>
      </c>
      <c r="B99" t="s">
        <v>247</v>
      </c>
      <c r="C99" t="s">
        <v>27</v>
      </c>
      <c r="D99" t="s">
        <v>25</v>
      </c>
      <c r="E99" s="2">
        <v>158</v>
      </c>
      <c r="F99" s="2">
        <v>147</v>
      </c>
      <c r="G99" s="2">
        <v>9</v>
      </c>
      <c r="H99" s="2">
        <v>12</v>
      </c>
      <c r="I99" s="2">
        <v>20</v>
      </c>
      <c r="J99" s="2">
        <v>31</v>
      </c>
      <c r="K99" s="2">
        <v>6</v>
      </c>
      <c r="L99" s="2">
        <v>59.821430206298828</v>
      </c>
      <c r="M99" s="46" t="str">
        <f t="shared" si="35"/>
        <v>NRA*</v>
      </c>
      <c r="N99" s="2">
        <v>51.798561096191406</v>
      </c>
      <c r="O99" s="46" t="str">
        <f t="shared" si="36"/>
        <v>NRA*</v>
      </c>
      <c r="P99" s="2">
        <v>100</v>
      </c>
      <c r="Q99" s="46" t="str">
        <f t="shared" si="37"/>
        <v>NRA*</v>
      </c>
      <c r="R99" s="2">
        <v>14.965986251831055</v>
      </c>
      <c r="S99" s="2">
        <v>19.757707595825195</v>
      </c>
      <c r="T99" s="2"/>
      <c r="V99" s="2">
        <v>70</v>
      </c>
      <c r="W99" s="2">
        <v>65.893089294433594</v>
      </c>
      <c r="X99" s="2"/>
      <c r="Y99" s="2"/>
      <c r="Z99" s="2">
        <v>61.290321350097656</v>
      </c>
      <c r="AA99" s="2">
        <v>57.355712890625</v>
      </c>
      <c r="AB99" s="2">
        <v>97.619049072265625</v>
      </c>
      <c r="AC99" s="46" t="str">
        <f t="shared" si="38"/>
        <v>NRA*</v>
      </c>
      <c r="AD99" s="2">
        <v>32.692306518554688</v>
      </c>
      <c r="AE99" s="2">
        <v>35.427310943603516</v>
      </c>
      <c r="AF99" s="2"/>
      <c r="AG99" s="4">
        <f t="shared" si="39"/>
        <v>158</v>
      </c>
      <c r="AH99" s="4" t="str" cm="1">
        <f t="array" ref="AH99">IF(AG99="NR**","NR**",INDEX(trust_indicator_data!$A$2:$BE$127,(ROW()-ROW(trust_indicator_data!$A$1:$BE$1)),MATCH(selected_indic_name_adj,trust_indicator_data!$A$1:$BE$1,0)))</f>
        <v>NRA*</v>
      </c>
      <c r="AI99" s="4" t="str">
        <f>IF(AG99="NR**","NR**",IF(AH99="NRA*","NRA*",RANK(AH99,AH:AH,1)+COUNTIF($AH$2:AH99,AH99)-1))</f>
        <v>NRA*</v>
      </c>
      <c r="AJ99" s="4" cm="1">
        <f t="array" ref="AJ99">IF(AG99="NR**","NR**",INDEX(trust_indicator_data!$A$2:$BE$127,(ROW()-ROW(trust_indicator_data!$A$1:$BE$1)),MATCH(selected_indic_name_unadj,trust_indicator_data!$A$1:$BE$1,0)))</f>
        <v>59.821430206298828</v>
      </c>
      <c r="AK99" s="4">
        <f>IF(AG99="NR**","NR**",RANK(trust_indicator_data!AJ99,AJ:AJ,1)+COUNTIF($AJ$2:AJ99,AJ99)-1)</f>
        <v>118</v>
      </c>
      <c r="AM99" s="4" cm="1">
        <f t="array" ref="AM99">IF(AQ99&lt;10,0,INDEX(trust_indicator_data!$A$2:$BE$127,(ROW()-ROW(trust_indicator_data!$A$1:$BE$1)),MATCH(selected_indic_name_unadj,trust_indicator_data!$A$1:$BE$1,0)))</f>
        <v>59.821430206298828</v>
      </c>
      <c r="AN99" s="4">
        <f t="shared" si="40"/>
        <v>118</v>
      </c>
      <c r="AP99" s="4">
        <f>RANK(trust_indicator_data!$AQ99,AQ:AQ,1)+COUNTIF($AQ$2:AQ99,AQ99)-1</f>
        <v>30</v>
      </c>
      <c r="AQ99" s="4" cm="1">
        <f t="array" ref="AQ99">INDEX(trust_indicator_data!$A$2:$BE$127,(ROW()-ROW(trust_indicator_data!$A$1:$BE$1)),MATCH(selected_indic_denom,trust_indicator_data!$A$1:$BE$1,0))</f>
        <v>158</v>
      </c>
      <c r="AR99" s="4" cm="1">
        <f t="array" ref="AR99">INDEX(trust_indicator_data!$A$2:$BE$127,(ROW()-ROW(trust_indicator_data!$A$1:$BE$1)),MATCH(selected_indic_name_unadj,trust_indicator_data!$A$1:$BE$1,0))/100</f>
        <v>0.59821430206298831</v>
      </c>
      <c r="AS99" s="4">
        <f>IF(AQ99&lt;10,NA(),trust_indicator_data!$AR99)</f>
        <v>0.59821430206298831</v>
      </c>
      <c r="AU99" s="4">
        <f>INDEX(table_national_indic,MATCH($AU$1,national_indicator_data!$A$1:$A$17,0),MATCH(selected_indic_name_unadj,national_indicator_data!$A$1:$R$1,0))</f>
        <v>0.47675243377685544</v>
      </c>
      <c r="AV99" s="4">
        <f>INDEX(table_national_indic,MATCH($AV$1,national_indicator_data!$A$1:$A$7,0),MATCH(selected_indic_name_unadj,national_indicator_data!$A$1:$R$1,0))</f>
        <v>0.76214221292766271</v>
      </c>
      <c r="AW99" s="4">
        <f t="shared" si="51"/>
        <v>0.68258648451008974</v>
      </c>
      <c r="AX99" s="4">
        <f t="shared" si="52"/>
        <v>0.84169794134523568</v>
      </c>
      <c r="AY99" s="4">
        <f t="shared" si="53"/>
        <v>0.64280862030130326</v>
      </c>
      <c r="AZ99" s="4">
        <f t="shared" si="54"/>
        <v>0.88147580555402216</v>
      </c>
      <c r="BA99" s="4">
        <f>INDEX(table_national_indic,MATCH($BA$1,national_indicator_data!$A$1:$A$7,0),MATCH(selected_indic_name_unadj,national_indicator_data!$A$1:$R$1,0))</f>
        <v>0</v>
      </c>
      <c r="BB99" s="4">
        <f t="shared" si="55"/>
        <v>0.39791128720433455</v>
      </c>
      <c r="BC99" s="4">
        <f t="shared" si="41"/>
        <v>0.55618088571886182</v>
      </c>
      <c r="BD99" s="4">
        <f t="shared" si="42"/>
        <v>0.3593353455314926</v>
      </c>
      <c r="BE99" s="4">
        <f t="shared" si="43"/>
        <v>0.59548747650650868</v>
      </c>
      <c r="BG99">
        <f t="shared" ref="BG99:BG127" si="57">BG98+1</f>
        <v>98</v>
      </c>
      <c r="BH99">
        <f t="shared" si="56"/>
        <v>352</v>
      </c>
      <c r="BI99" s="42">
        <f t="shared" si="45"/>
        <v>0.33750000000000002</v>
      </c>
      <c r="BJ99" s="42">
        <f t="shared" si="46"/>
        <v>0.42374264221599484</v>
      </c>
      <c r="BK99" s="42">
        <f t="shared" si="47"/>
        <v>0.53002615215384807</v>
      </c>
      <c r="BL99" s="42">
        <f t="shared" si="48"/>
        <v>0.39752509023527571</v>
      </c>
      <c r="BM99" s="42">
        <f t="shared" si="49"/>
        <v>0.55657290992433506</v>
      </c>
      <c r="BN99" s="42">
        <f t="shared" si="50"/>
        <v>0.47675243377685544</v>
      </c>
    </row>
    <row r="100" spans="1:66" x14ac:dyDescent="0.25">
      <c r="A100" t="s">
        <v>136</v>
      </c>
      <c r="B100" t="s">
        <v>135</v>
      </c>
      <c r="C100" t="s">
        <v>24</v>
      </c>
      <c r="D100" t="s">
        <v>22</v>
      </c>
      <c r="E100" s="2">
        <v>134</v>
      </c>
      <c r="F100" s="2">
        <v>122</v>
      </c>
      <c r="G100" s="2">
        <v>8</v>
      </c>
      <c r="H100" s="2">
        <v>21</v>
      </c>
      <c r="I100" s="2">
        <v>22</v>
      </c>
      <c r="J100" s="2">
        <v>43</v>
      </c>
      <c r="K100" s="2">
        <v>10</v>
      </c>
      <c r="L100" s="2">
        <v>57.798164367675781</v>
      </c>
      <c r="M100" s="46" t="str">
        <f t="shared" si="35"/>
        <v>NRA*</v>
      </c>
      <c r="N100" s="2">
        <v>73.636360168457031</v>
      </c>
      <c r="O100" s="46" t="str">
        <f t="shared" si="36"/>
        <v>NRA*</v>
      </c>
      <c r="P100" s="2">
        <v>100</v>
      </c>
      <c r="Q100" s="46" t="str">
        <f t="shared" si="37"/>
        <v>NRA*</v>
      </c>
      <c r="R100" s="2">
        <v>16.393442153930664</v>
      </c>
      <c r="S100" s="2">
        <v>17.153444290161133</v>
      </c>
      <c r="T100" s="2"/>
      <c r="V100" s="2">
        <v>90.909088134765625</v>
      </c>
      <c r="W100" s="2">
        <v>81.708236694335938</v>
      </c>
      <c r="X100" s="2">
        <v>60</v>
      </c>
      <c r="Y100" s="2">
        <v>56.999233245849609</v>
      </c>
      <c r="Z100" s="2">
        <v>60.465114593505859</v>
      </c>
      <c r="AA100" s="2">
        <v>59.504676818847656</v>
      </c>
      <c r="AB100" s="2">
        <v>93.150688171386719</v>
      </c>
      <c r="AC100" s="46" t="str">
        <f t="shared" si="38"/>
        <v>NRA*</v>
      </c>
      <c r="AD100" s="2">
        <v>41.791046142578125</v>
      </c>
      <c r="AE100" s="2">
        <v>43.411376953125</v>
      </c>
      <c r="AF100" s="2"/>
      <c r="AG100" s="34">
        <f t="shared" si="39"/>
        <v>134</v>
      </c>
      <c r="AH100" s="34" t="str" cm="1">
        <f t="array" ref="AH100">IF(AG100="NR**","NR**",INDEX(trust_indicator_data!$A$2:$BE$127,(ROW()-ROW(trust_indicator_data!$A$1:$BE$1)),MATCH(selected_indic_name_adj,trust_indicator_data!$A$1:$BE$1,0)))</f>
        <v>NRA*</v>
      </c>
      <c r="AI100" s="34" t="str">
        <f>IF(AG100="NR**","NR**",IF(AH100="NRA*","NRA*",RANK(AH100,AH:AH,1)+COUNTIF($AH$2:AH100,AH100)-1))</f>
        <v>NRA*</v>
      </c>
      <c r="AJ100" s="34" cm="1">
        <f t="array" ref="AJ100">IF(AG100="NR**","NR**",INDEX(trust_indicator_data!$A$2:$BE$127,(ROW()-ROW(trust_indicator_data!$A$1:$BE$1)),MATCH(selected_indic_name_unadj,trust_indicator_data!$A$1:$BE$1,0)))</f>
        <v>57.798164367675781</v>
      </c>
      <c r="AK100" s="34">
        <f>IF(AG100="NR**","NR**",RANK(trust_indicator_data!AJ100,AJ:AJ,1)+COUNTIF($AJ$2:AJ100,AJ100)-1)</f>
        <v>111</v>
      </c>
      <c r="AM100" s="34" cm="1">
        <f t="array" ref="AM100">IF(AQ100&lt;10,0,INDEX(trust_indicator_data!$A$2:$BE$127,(ROW()-ROW(trust_indicator_data!$A$1:$BE$1)),MATCH(selected_indic_name_unadj,trust_indicator_data!$A$1:$BE$1,0)))</f>
        <v>57.798164367675781</v>
      </c>
      <c r="AN100" s="34">
        <f t="shared" si="40"/>
        <v>111</v>
      </c>
      <c r="AO100" s="2">
        <f>MAX(AN:AN)</f>
        <v>126</v>
      </c>
      <c r="AP100" s="34">
        <f>RANK(trust_indicator_data!$AQ100,AQ:AQ,1)+COUNTIF($AQ$2:AQ100,AQ100)-1</f>
        <v>22</v>
      </c>
      <c r="AQ100" s="34" cm="1">
        <f t="array" ref="AQ100">INDEX(trust_indicator_data!$A$2:$BE$127,(ROW()-ROW(trust_indicator_data!$A$1:$BE$1)),MATCH(selected_indic_denom,trust_indicator_data!$A$1:$BE$1,0))</f>
        <v>134</v>
      </c>
      <c r="AR100" s="34" cm="1">
        <f t="array" ref="AR100">INDEX(trust_indicator_data!$A$2:$BE$127,(ROW()-ROW(trust_indicator_data!$A$1:$BE$1)),MATCH(selected_indic_name_unadj,trust_indicator_data!$A$1:$BE$1,0))/100</f>
        <v>0.57798164367675786</v>
      </c>
      <c r="AS100" s="34">
        <f>IF(AQ100&lt;10,NA(),trust_indicator_data!$AR100)</f>
        <v>0.57798164367675786</v>
      </c>
      <c r="AU100" s="34">
        <f>INDEX(table_national_indic,MATCH($AU$1,national_indicator_data!$A$1:$A$17,0),MATCH(selected_indic_name_unadj,national_indicator_data!$A$1:$R$1,0))</f>
        <v>0.47675243377685544</v>
      </c>
      <c r="AV100" s="34">
        <f>INDEX(table_national_indic,MATCH($AV$1,national_indicator_data!$A$1:$A$7,0),MATCH(selected_indic_name_unadj,national_indicator_data!$A$1:$R$1,0))</f>
        <v>0.76214221292766271</v>
      </c>
      <c r="AW100" s="34">
        <f t="shared" si="51"/>
        <v>0.67575537036952671</v>
      </c>
      <c r="AX100" s="34">
        <f t="shared" si="52"/>
        <v>0.84852905548579871</v>
      </c>
      <c r="AY100" s="34">
        <f t="shared" si="53"/>
        <v>0.63256194909045871</v>
      </c>
      <c r="AZ100" s="34">
        <f t="shared" si="54"/>
        <v>0.89172247676486671</v>
      </c>
      <c r="BA100" s="34">
        <f>INDEX(table_national_indic,MATCH($BA$1,national_indicator_data!$A$1:$A$7,0),MATCH(selected_indic_name_unadj,national_indicator_data!$A$1:$R$1,0))</f>
        <v>0</v>
      </c>
      <c r="BB100" s="34">
        <f t="shared" si="55"/>
        <v>0.39123381364825144</v>
      </c>
      <c r="BC100" s="34">
        <f t="shared" si="41"/>
        <v>0.56296328656121497</v>
      </c>
      <c r="BD100" s="34">
        <f t="shared" si="42"/>
        <v>0.34953274937256262</v>
      </c>
      <c r="BE100" s="34">
        <f t="shared" si="43"/>
        <v>0.60552480222480476</v>
      </c>
      <c r="BG100">
        <f t="shared" si="57"/>
        <v>99</v>
      </c>
      <c r="BH100">
        <f t="shared" si="56"/>
        <v>358</v>
      </c>
      <c r="BI100" s="42">
        <f t="shared" si="45"/>
        <v>0.43768115997314455</v>
      </c>
      <c r="BJ100" s="42">
        <f t="shared" si="46"/>
        <v>0.42418596232822492</v>
      </c>
      <c r="BK100" s="42">
        <f t="shared" si="47"/>
        <v>0.52957841280654372</v>
      </c>
      <c r="BL100" s="42">
        <f t="shared" si="48"/>
        <v>0.39818370607114595</v>
      </c>
      <c r="BM100" s="42">
        <f t="shared" si="49"/>
        <v>0.55590437415334648</v>
      </c>
      <c r="BN100" s="42">
        <f t="shared" si="50"/>
        <v>0.47675243377685544</v>
      </c>
    </row>
    <row r="101" spans="1:66" x14ac:dyDescent="0.25">
      <c r="A101" t="s">
        <v>156</v>
      </c>
      <c r="B101" t="s">
        <v>155</v>
      </c>
      <c r="C101" t="s">
        <v>60</v>
      </c>
      <c r="D101" t="s">
        <v>58</v>
      </c>
      <c r="E101" s="2">
        <v>184</v>
      </c>
      <c r="F101" s="2">
        <v>165</v>
      </c>
      <c r="G101" s="2">
        <v>17</v>
      </c>
      <c r="H101" s="2">
        <v>39</v>
      </c>
      <c r="I101" s="2">
        <v>47</v>
      </c>
      <c r="J101" s="2">
        <v>27</v>
      </c>
      <c r="K101" s="2">
        <v>17</v>
      </c>
      <c r="L101" s="2">
        <v>41.714286804199219</v>
      </c>
      <c r="M101" s="46" t="str">
        <f t="shared" si="35"/>
        <v>NRA*</v>
      </c>
      <c r="N101" s="2">
        <v>50.289016723632813</v>
      </c>
      <c r="O101" s="46" t="str">
        <f t="shared" si="36"/>
        <v>NRA*</v>
      </c>
      <c r="P101" s="2">
        <v>79.4871826171875</v>
      </c>
      <c r="Q101" s="46" t="str">
        <f t="shared" si="37"/>
        <v>NRA*</v>
      </c>
      <c r="R101" s="2">
        <v>24.242424011230469</v>
      </c>
      <c r="S101" s="2">
        <v>22.809293746948242</v>
      </c>
      <c r="T101" s="2">
        <v>88.23529052734375</v>
      </c>
      <c r="U101" s="4">
        <v>87.774581909179688</v>
      </c>
      <c r="V101" s="2">
        <v>85.10638427734375</v>
      </c>
      <c r="W101" s="2">
        <v>84.887580871582031</v>
      </c>
      <c r="X101" s="2">
        <v>64.705879211425781</v>
      </c>
      <c r="Y101" s="2">
        <v>64.530258178710938</v>
      </c>
      <c r="Z101" s="2">
        <v>74.074073791503906</v>
      </c>
      <c r="AA101" s="2">
        <v>74.742210388183594</v>
      </c>
      <c r="AB101" s="2">
        <v>98.611114501953125</v>
      </c>
      <c r="AC101" s="46" t="str">
        <f t="shared" si="38"/>
        <v>NRA*</v>
      </c>
      <c r="AD101" s="2">
        <v>26.923076629638672</v>
      </c>
      <c r="AE101" s="2">
        <v>26.849624633789063</v>
      </c>
      <c r="AF101" s="2"/>
      <c r="AG101" s="4">
        <f t="shared" si="39"/>
        <v>184</v>
      </c>
      <c r="AH101" s="4" t="str" cm="1">
        <f t="array" ref="AH101">IF(AG101="NR**","NR**",INDEX(trust_indicator_data!$A$2:$BE$127,(ROW()-ROW(trust_indicator_data!$A$1:$BE$1)),MATCH(selected_indic_name_adj,trust_indicator_data!$A$1:$BE$1,0)))</f>
        <v>NRA*</v>
      </c>
      <c r="AI101" s="4" t="str">
        <f>IF(AG101="NR**","NR**",IF(AH101="NRA*","NRA*",RANK(AH101,AH:AH,1)+COUNTIF($AH$2:AH101,AH101)-1))</f>
        <v>NRA*</v>
      </c>
      <c r="AJ101" s="4" cm="1">
        <f t="array" ref="AJ101">IF(AG101="NR**","NR**",INDEX(trust_indicator_data!$A$2:$BE$127,(ROW()-ROW(trust_indicator_data!$A$1:$BE$1)),MATCH(selected_indic_name_unadj,trust_indicator_data!$A$1:$BE$1,0)))</f>
        <v>41.714286804199219</v>
      </c>
      <c r="AK101" s="4">
        <f>IF(AG101="NR**","NR**",RANK(trust_indicator_data!AJ101,AJ:AJ,1)+COUNTIF($AJ$2:AJ101,AJ101)-1)</f>
        <v>21</v>
      </c>
      <c r="AM101" s="4" cm="1">
        <f t="array" ref="AM101">IF(AQ101&lt;10,0,INDEX(trust_indicator_data!$A$2:$BE$127,(ROW()-ROW(trust_indicator_data!$A$1:$BE$1)),MATCH(selected_indic_name_unadj,trust_indicator_data!$A$1:$BE$1,0)))</f>
        <v>41.714286804199219</v>
      </c>
      <c r="AN101" s="4">
        <f t="shared" si="40"/>
        <v>21</v>
      </c>
      <c r="AO101" s="2">
        <f>MAX(AK:AK)</f>
        <v>126</v>
      </c>
      <c r="AP101" s="4">
        <f>RANK(trust_indicator_data!$AQ101,AQ:AQ,1)+COUNTIF($AQ$2:AQ101,AQ101)-1</f>
        <v>36</v>
      </c>
      <c r="AQ101" s="4" cm="1">
        <f t="array" ref="AQ101">INDEX(trust_indicator_data!$A$2:$BE$127,(ROW()-ROW(trust_indicator_data!$A$1:$BE$1)),MATCH(selected_indic_denom,trust_indicator_data!$A$1:$BE$1,0))</f>
        <v>184</v>
      </c>
      <c r="AR101" s="4" cm="1">
        <f t="array" ref="AR101">INDEX(trust_indicator_data!$A$2:$BE$127,(ROW()-ROW(trust_indicator_data!$A$1:$BE$1)),MATCH(selected_indic_name_unadj,trust_indicator_data!$A$1:$BE$1,0))/100</f>
        <v>0.41714286804199219</v>
      </c>
      <c r="AS101" s="4">
        <f>IF(AQ101&lt;10,NA(),trust_indicator_data!$AR101)</f>
        <v>0.41714286804199219</v>
      </c>
      <c r="AU101" s="4">
        <f>INDEX(table_national_indic,MATCH($AU$1,national_indicator_data!$A$1:$A$17,0),MATCH(selected_indic_name_unadj,national_indicator_data!$A$1:$R$1,0))</f>
        <v>0.47675243377685544</v>
      </c>
      <c r="AV101" s="4">
        <f>INDEX(table_national_indic,MATCH($AV$1,national_indicator_data!$A$1:$A$7,0),MATCH(selected_indic_name_unadj,national_indicator_data!$A$1:$R$1,0))</f>
        <v>0.76214221292766271</v>
      </c>
      <c r="AW101" s="4">
        <f t="shared" si="51"/>
        <v>0.68842123485021411</v>
      </c>
      <c r="AX101" s="4">
        <f t="shared" si="52"/>
        <v>0.83586319100511131</v>
      </c>
      <c r="AY101" s="4">
        <f t="shared" si="53"/>
        <v>0.65156074581148982</v>
      </c>
      <c r="AZ101" s="4">
        <f t="shared" si="54"/>
        <v>0.8727236800438356</v>
      </c>
      <c r="BA101" s="4">
        <f>INDEX(table_national_indic,MATCH($BA$1,national_indicator_data!$A$1:$A$7,0),MATCH(selected_indic_name_unadj,national_indicator_data!$A$1:$R$1,0))</f>
        <v>0</v>
      </c>
      <c r="BB101" s="4">
        <f t="shared" si="55"/>
        <v>0.40362994347017633</v>
      </c>
      <c r="BC101" s="4">
        <f t="shared" si="41"/>
        <v>0.55037939107425893</v>
      </c>
      <c r="BD101" s="4">
        <f t="shared" si="42"/>
        <v>0.36775510425473351</v>
      </c>
      <c r="BE101" s="4">
        <f t="shared" si="43"/>
        <v>0.58688224511076093</v>
      </c>
      <c r="BG101">
        <f t="shared" si="57"/>
        <v>100</v>
      </c>
      <c r="BH101">
        <f t="shared" si="56"/>
        <v>359</v>
      </c>
      <c r="BI101" s="42">
        <f t="shared" si="45"/>
        <v>0.48163265228271485</v>
      </c>
      <c r="BJ101" s="42">
        <f t="shared" si="46"/>
        <v>0.4242587723169885</v>
      </c>
      <c r="BK101" s="42">
        <f t="shared" si="47"/>
        <v>0.52950488062674439</v>
      </c>
      <c r="BL101" s="42">
        <f t="shared" si="48"/>
        <v>0.39829188476591504</v>
      </c>
      <c r="BM101" s="42">
        <f t="shared" si="49"/>
        <v>0.55579457430608092</v>
      </c>
      <c r="BN101" s="42">
        <f t="shared" si="50"/>
        <v>0.47675243377685544</v>
      </c>
    </row>
    <row r="102" spans="1:66" x14ac:dyDescent="0.25">
      <c r="A102" t="s">
        <v>244</v>
      </c>
      <c r="B102" t="s">
        <v>243</v>
      </c>
      <c r="C102" t="s">
        <v>512</v>
      </c>
      <c r="D102" t="s">
        <v>70</v>
      </c>
      <c r="E102" s="2">
        <v>48</v>
      </c>
      <c r="F102" s="2">
        <v>47</v>
      </c>
      <c r="G102" s="2">
        <v>1</v>
      </c>
      <c r="H102" s="2">
        <v>3</v>
      </c>
      <c r="I102" s="2">
        <v>6</v>
      </c>
      <c r="J102" s="2">
        <v>16</v>
      </c>
      <c r="K102" s="2">
        <v>3</v>
      </c>
      <c r="L102" s="2">
        <v>51.282051086425781</v>
      </c>
      <c r="M102" s="46" t="str">
        <f t="shared" si="35"/>
        <v>NRA*</v>
      </c>
      <c r="N102" s="2">
        <v>79.310348510742188</v>
      </c>
      <c r="O102" s="46" t="str">
        <f t="shared" si="36"/>
        <v>NRA*</v>
      </c>
      <c r="P102" s="2"/>
      <c r="Q102" s="46" t="str">
        <f t="shared" si="37"/>
        <v>NRA*</v>
      </c>
      <c r="R102" s="2">
        <v>10.638298034667969</v>
      </c>
      <c r="S102" s="2">
        <v>8.4983034133911133</v>
      </c>
      <c r="T102" s="2"/>
      <c r="V102" s="2"/>
      <c r="W102" s="2"/>
      <c r="X102" s="2"/>
      <c r="Y102" s="2"/>
      <c r="Z102" s="2">
        <v>68.75</v>
      </c>
      <c r="AA102" s="2">
        <v>60.055168151855469</v>
      </c>
      <c r="AB102" s="2"/>
      <c r="AC102" s="46" t="str">
        <f t="shared" si="38"/>
        <v>NRA*</v>
      </c>
      <c r="AD102" s="2">
        <v>34.883720397949219</v>
      </c>
      <c r="AE102" s="2">
        <v>47.905429840087891</v>
      </c>
      <c r="AF102" s="2"/>
      <c r="AG102" s="34">
        <f t="shared" si="39"/>
        <v>48</v>
      </c>
      <c r="AH102" s="34" t="str" cm="1">
        <f t="array" ref="AH102">IF(AG102="NR**","NR**",INDEX(trust_indicator_data!$A$2:$BE$127,(ROW()-ROW(trust_indicator_data!$A$1:$BE$1)),MATCH(selected_indic_name_adj,trust_indicator_data!$A$1:$BE$1,0)))</f>
        <v>NRA*</v>
      </c>
      <c r="AI102" s="34" t="str">
        <f>IF(AG102="NR**","NR**",IF(AH102="NRA*","NRA*",RANK(AH102,AH:AH,1)+COUNTIF($AH$2:AH102,AH102)-1))</f>
        <v>NRA*</v>
      </c>
      <c r="AJ102" s="34" cm="1">
        <f t="array" ref="AJ102">IF(AG102="NR**","NR**",INDEX(trust_indicator_data!$A$2:$BE$127,(ROW()-ROW(trust_indicator_data!$A$1:$BE$1)),MATCH(selected_indic_name_unadj,trust_indicator_data!$A$1:$BE$1,0)))</f>
        <v>51.282051086425781</v>
      </c>
      <c r="AK102" s="34">
        <f>IF(AG102="NR**","NR**",RANK(trust_indicator_data!AJ102,AJ:AJ,1)+COUNTIF($AJ$2:AJ102,AJ102)-1)</f>
        <v>77</v>
      </c>
      <c r="AM102" s="34" cm="1">
        <f t="array" ref="AM102">IF(AQ102&lt;10,0,INDEX(trust_indicator_data!$A$2:$BE$127,(ROW()-ROW(trust_indicator_data!$A$1:$BE$1)),MATCH(selected_indic_name_unadj,trust_indicator_data!$A$1:$BE$1,0)))</f>
        <v>51.282051086425781</v>
      </c>
      <c r="AN102" s="34">
        <f t="shared" si="40"/>
        <v>77</v>
      </c>
      <c r="AP102" s="34">
        <f>RANK(trust_indicator_data!$AQ102,AQ:AQ,1)+COUNTIF($AQ$2:AQ102,AQ102)-1</f>
        <v>2</v>
      </c>
      <c r="AQ102" s="34" cm="1">
        <f t="array" ref="AQ102">INDEX(trust_indicator_data!$A$2:$BE$127,(ROW()-ROW(trust_indicator_data!$A$1:$BE$1)),MATCH(selected_indic_denom,trust_indicator_data!$A$1:$BE$1,0))</f>
        <v>48</v>
      </c>
      <c r="AR102" s="34" cm="1">
        <f t="array" ref="AR102">INDEX(trust_indicator_data!$A$2:$BE$127,(ROW()-ROW(trust_indicator_data!$A$1:$BE$1)),MATCH(selected_indic_name_unadj,trust_indicator_data!$A$1:$BE$1,0))/100</f>
        <v>0.51282051086425784</v>
      </c>
      <c r="AS102" s="34">
        <f>IF(AQ102&lt;10,NA(),trust_indicator_data!$AR102)</f>
        <v>0.51282051086425784</v>
      </c>
      <c r="AU102" s="34">
        <f>INDEX(table_national_indic,MATCH($AU$1,national_indicator_data!$A$1:$A$17,0),MATCH(selected_indic_name_unadj,national_indicator_data!$A$1:$R$1,0))</f>
        <v>0.47675243377685544</v>
      </c>
      <c r="AV102" s="34">
        <f>INDEX(table_national_indic,MATCH($AV$1,national_indicator_data!$A$1:$A$7,0),MATCH(selected_indic_name_unadj,national_indicator_data!$A$1:$R$1,0))</f>
        <v>0.76214221292766271</v>
      </c>
      <c r="AW102" s="34">
        <f t="shared" si="51"/>
        <v>0.61780464563025628</v>
      </c>
      <c r="AX102" s="34">
        <f t="shared" si="52"/>
        <v>0.90647978022506914</v>
      </c>
      <c r="AY102" s="34">
        <f t="shared" si="53"/>
        <v>0.54563586198155301</v>
      </c>
      <c r="AZ102" s="34">
        <f t="shared" si="54"/>
        <v>0.97864856387377241</v>
      </c>
      <c r="BA102" s="34">
        <f>INDEX(table_national_indic,MATCH($BA$1,national_indicator_data!$A$1:$A$7,0),MATCH(selected_indic_name_unadj,national_indicator_data!$A$1:$R$1,0))</f>
        <v>0</v>
      </c>
      <c r="BB102" s="34">
        <f t="shared" si="55"/>
        <v>0.33552709879536813</v>
      </c>
      <c r="BC102" s="34">
        <f t="shared" si="41"/>
        <v>0.61990164980607154</v>
      </c>
      <c r="BD102" s="34">
        <f t="shared" si="42"/>
        <v>0.26932127574937736</v>
      </c>
      <c r="BE102" s="34">
        <f t="shared" si="43"/>
        <v>0.6884748266203663</v>
      </c>
      <c r="BG102">
        <f t="shared" si="57"/>
        <v>101</v>
      </c>
      <c r="BH102">
        <f t="shared" si="56"/>
        <v>366</v>
      </c>
      <c r="BI102" s="42">
        <f t="shared" si="45"/>
        <v>0.37878787994384766</v>
      </c>
      <c r="BJ102" s="42">
        <f t="shared" si="46"/>
        <v>0.42476010277009274</v>
      </c>
      <c r="BK102" s="42">
        <f t="shared" si="47"/>
        <v>0.52899860523485254</v>
      </c>
      <c r="BL102" s="42">
        <f t="shared" si="48"/>
        <v>0.39903681348273845</v>
      </c>
      <c r="BM102" s="42">
        <f t="shared" si="49"/>
        <v>0.55503854505782169</v>
      </c>
      <c r="BN102" s="42">
        <f t="shared" si="50"/>
        <v>0.47675243377685544</v>
      </c>
    </row>
    <row r="103" spans="1:66" x14ac:dyDescent="0.25">
      <c r="A103" t="s">
        <v>210</v>
      </c>
      <c r="B103" t="s">
        <v>209</v>
      </c>
      <c r="C103" t="s">
        <v>74</v>
      </c>
      <c r="D103" t="s">
        <v>72</v>
      </c>
      <c r="E103" s="2">
        <v>249</v>
      </c>
      <c r="F103" s="2">
        <v>233</v>
      </c>
      <c r="G103" s="2">
        <v>14</v>
      </c>
      <c r="H103" s="2">
        <v>30</v>
      </c>
      <c r="I103" s="2">
        <v>39</v>
      </c>
      <c r="J103" s="2">
        <v>28</v>
      </c>
      <c r="K103" s="2">
        <v>14</v>
      </c>
      <c r="L103" s="2">
        <v>52.153110504150391</v>
      </c>
      <c r="M103" s="46" t="str">
        <f t="shared" si="35"/>
        <v>NRA*</v>
      </c>
      <c r="N103" s="2">
        <v>41.116752624511719</v>
      </c>
      <c r="O103" s="46" t="str">
        <f t="shared" si="36"/>
        <v>NRA*</v>
      </c>
      <c r="P103" s="2">
        <v>86.666664123535156</v>
      </c>
      <c r="Q103" s="46" t="str">
        <f t="shared" si="37"/>
        <v>NRA*</v>
      </c>
      <c r="R103" s="2">
        <v>21.888412475585938</v>
      </c>
      <c r="S103" s="2">
        <v>27.257913589477539</v>
      </c>
      <c r="T103" s="2">
        <v>85.714286804199219</v>
      </c>
      <c r="U103" s="4">
        <v>85.807907104492188</v>
      </c>
      <c r="V103" s="2">
        <v>76.923080444335938</v>
      </c>
      <c r="W103" s="2">
        <v>76.016555786132813</v>
      </c>
      <c r="X103" s="2">
        <v>50</v>
      </c>
      <c r="Y103" s="2">
        <v>47.620010375976563</v>
      </c>
      <c r="Z103" s="2">
        <v>57.142856597900391</v>
      </c>
      <c r="AA103" s="2">
        <v>61.241306304931641</v>
      </c>
      <c r="AB103" s="2">
        <v>98.076919555664063</v>
      </c>
      <c r="AC103" s="46" t="str">
        <f t="shared" si="38"/>
        <v>NRA*</v>
      </c>
      <c r="AD103" s="2">
        <v>41.129032135009766</v>
      </c>
      <c r="AE103" s="2">
        <v>35.377517700195313</v>
      </c>
      <c r="AF103" s="2"/>
      <c r="AG103" s="4">
        <f t="shared" si="39"/>
        <v>249</v>
      </c>
      <c r="AH103" s="4" t="str" cm="1">
        <f t="array" ref="AH103">IF(AG103="NR**","NR**",INDEX(trust_indicator_data!$A$2:$BE$127,(ROW()-ROW(trust_indicator_data!$A$1:$BE$1)),MATCH(selected_indic_name_adj,trust_indicator_data!$A$1:$BE$1,0)))</f>
        <v>NRA*</v>
      </c>
      <c r="AI103" s="4" t="str">
        <f>IF(AG103="NR**","NR**",IF(AH103="NRA*","NRA*",RANK(AH103,AH:AH,1)+COUNTIF($AH$2:AH103,AH103)-1))</f>
        <v>NRA*</v>
      </c>
      <c r="AJ103" s="4" cm="1">
        <f t="array" ref="AJ103">IF(AG103="NR**","NR**",INDEX(trust_indicator_data!$A$2:$BE$127,(ROW()-ROW(trust_indicator_data!$A$1:$BE$1)),MATCH(selected_indic_name_unadj,trust_indicator_data!$A$1:$BE$1,0)))</f>
        <v>52.153110504150391</v>
      </c>
      <c r="AK103" s="4">
        <f>IF(AG103="NR**","NR**",RANK(trust_indicator_data!AJ103,AJ:AJ,1)+COUNTIF($AJ$2:AJ103,AJ103)-1)</f>
        <v>82</v>
      </c>
      <c r="AM103" s="4" cm="1">
        <f t="array" ref="AM103">IF(AQ103&lt;10,0,INDEX(trust_indicator_data!$A$2:$BE$127,(ROW()-ROW(trust_indicator_data!$A$1:$BE$1)),MATCH(selected_indic_name_unadj,trust_indicator_data!$A$1:$BE$1,0)))</f>
        <v>52.153110504150391</v>
      </c>
      <c r="AN103" s="4">
        <f t="shared" si="40"/>
        <v>82</v>
      </c>
      <c r="AP103" s="4">
        <f>RANK(trust_indicator_data!$AQ103,AQ:AQ,1)+COUNTIF($AQ$2:AQ103,AQ103)-1</f>
        <v>68</v>
      </c>
      <c r="AQ103" s="4" cm="1">
        <f t="array" ref="AQ103">INDEX(trust_indicator_data!$A$2:$BE$127,(ROW()-ROW(trust_indicator_data!$A$1:$BE$1)),MATCH(selected_indic_denom,trust_indicator_data!$A$1:$BE$1,0))</f>
        <v>249</v>
      </c>
      <c r="AR103" s="4" cm="1">
        <f t="array" ref="AR103">INDEX(trust_indicator_data!$A$2:$BE$127,(ROW()-ROW(trust_indicator_data!$A$1:$BE$1)),MATCH(selected_indic_name_unadj,trust_indicator_data!$A$1:$BE$1,0))/100</f>
        <v>0.52153110504150391</v>
      </c>
      <c r="AS103" s="4">
        <f>IF(AQ103&lt;10,NA(),trust_indicator_data!$AR103)</f>
        <v>0.52153110504150391</v>
      </c>
      <c r="AU103" s="4">
        <f>INDEX(table_national_indic,MATCH($AU$1,national_indicator_data!$A$1:$A$17,0),MATCH(selected_indic_name_unadj,national_indicator_data!$A$1:$R$1,0))</f>
        <v>0.47675243377685544</v>
      </c>
      <c r="AV103" s="4">
        <f>INDEX(table_national_indic,MATCH($AV$1,national_indicator_data!$A$1:$A$7,0),MATCH(selected_indic_name_unadj,national_indicator_data!$A$1:$R$1,0))</f>
        <v>0.76214221292766271</v>
      </c>
      <c r="AW103" s="4">
        <f t="shared" si="51"/>
        <v>0.69876978787521493</v>
      </c>
      <c r="AX103" s="4">
        <f t="shared" si="52"/>
        <v>0.82551463798011049</v>
      </c>
      <c r="AY103" s="4">
        <f t="shared" si="53"/>
        <v>0.66708357534899099</v>
      </c>
      <c r="AZ103" s="4">
        <f t="shared" si="54"/>
        <v>0.85720085050633443</v>
      </c>
      <c r="BA103" s="4">
        <f>INDEX(table_national_indic,MATCH($BA$1,national_indicator_data!$A$1:$A$7,0),MATCH(selected_indic_name_unadj,national_indicator_data!$A$1:$R$1,0))</f>
        <v>0</v>
      </c>
      <c r="BB103" s="4">
        <f t="shared" si="55"/>
        <v>0.41380437479870286</v>
      </c>
      <c r="BC103" s="4">
        <f t="shared" si="41"/>
        <v>0.54007344796212586</v>
      </c>
      <c r="BD103" s="4">
        <f t="shared" si="42"/>
        <v>0.38278646353862061</v>
      </c>
      <c r="BE103" s="4">
        <f t="shared" si="43"/>
        <v>0.5715561495961875</v>
      </c>
      <c r="BG103">
        <f t="shared" si="57"/>
        <v>102</v>
      </c>
      <c r="BH103">
        <f t="shared" si="56"/>
        <v>367</v>
      </c>
      <c r="BI103" s="42">
        <f t="shared" si="45"/>
        <v>0.39616615295410157</v>
      </c>
      <c r="BJ103" s="42">
        <f t="shared" si="46"/>
        <v>0.42483055432856393</v>
      </c>
      <c r="BK103" s="42">
        <f t="shared" si="47"/>
        <v>0.52892746264135548</v>
      </c>
      <c r="BL103" s="42">
        <f t="shared" si="48"/>
        <v>0.39914150723852826</v>
      </c>
      <c r="BM103" s="42">
        <f t="shared" si="49"/>
        <v>0.55493230000870042</v>
      </c>
      <c r="BN103" s="42">
        <f t="shared" si="50"/>
        <v>0.47675243377685544</v>
      </c>
    </row>
    <row r="104" spans="1:66" x14ac:dyDescent="0.25">
      <c r="A104" t="s">
        <v>208</v>
      </c>
      <c r="B104" t="s">
        <v>207</v>
      </c>
      <c r="C104" t="s">
        <v>42</v>
      </c>
      <c r="D104" t="s">
        <v>40</v>
      </c>
      <c r="E104" s="2">
        <v>83</v>
      </c>
      <c r="F104" s="2">
        <v>74</v>
      </c>
      <c r="G104" s="2">
        <v>7</v>
      </c>
      <c r="H104" s="2">
        <v>21</v>
      </c>
      <c r="I104" s="2">
        <v>20</v>
      </c>
      <c r="J104" s="2">
        <v>19</v>
      </c>
      <c r="K104" s="2">
        <v>6</v>
      </c>
      <c r="L104" s="2">
        <v>50.617282867431641</v>
      </c>
      <c r="M104" s="46" t="str">
        <f t="shared" si="35"/>
        <v>NRA*</v>
      </c>
      <c r="N104" s="2">
        <v>65.277778625488281</v>
      </c>
      <c r="O104" s="46" t="str">
        <f t="shared" si="36"/>
        <v>NRA*</v>
      </c>
      <c r="P104" s="2">
        <v>95.23809814453125</v>
      </c>
      <c r="Q104" s="46" t="str">
        <f t="shared" si="37"/>
        <v>NRA*</v>
      </c>
      <c r="R104" s="2">
        <v>27.027027130126953</v>
      </c>
      <c r="S104" s="2">
        <v>19.602357864379883</v>
      </c>
      <c r="T104" s="2"/>
      <c r="V104" s="2">
        <v>85</v>
      </c>
      <c r="W104" s="2">
        <v>76.083641052246094</v>
      </c>
      <c r="X104" s="2"/>
      <c r="Y104" s="2"/>
      <c r="Z104" s="2">
        <v>63.157894134521484</v>
      </c>
      <c r="AA104" s="2">
        <v>61.320903778076172</v>
      </c>
      <c r="AB104" s="2">
        <v>74.509803771972656</v>
      </c>
      <c r="AC104" s="46" t="str">
        <f t="shared" si="38"/>
        <v>NRA*</v>
      </c>
      <c r="AD104" s="2">
        <v>43.902439117431641</v>
      </c>
      <c r="AE104" s="2">
        <v>55.582351684570313</v>
      </c>
      <c r="AF104" s="2"/>
      <c r="AG104" s="34">
        <f t="shared" si="39"/>
        <v>83</v>
      </c>
      <c r="AH104" s="34" t="str" cm="1">
        <f t="array" ref="AH104">IF(AG104="NR**","NR**",INDEX(trust_indicator_data!$A$2:$BE$127,(ROW()-ROW(trust_indicator_data!$A$1:$BE$1)),MATCH(selected_indic_name_adj,trust_indicator_data!$A$1:$BE$1,0)))</f>
        <v>NRA*</v>
      </c>
      <c r="AI104" s="34" t="str">
        <f>IF(AG104="NR**","NR**",IF(AH104="NRA*","NRA*",RANK(AH104,AH:AH,1)+COUNTIF($AH$2:AH104,AH104)-1))</f>
        <v>NRA*</v>
      </c>
      <c r="AJ104" s="34" cm="1">
        <f t="array" ref="AJ104">IF(AG104="NR**","NR**",INDEX(trust_indicator_data!$A$2:$BE$127,(ROW()-ROW(trust_indicator_data!$A$1:$BE$1)),MATCH(selected_indic_name_unadj,trust_indicator_data!$A$1:$BE$1,0)))</f>
        <v>50.617282867431641</v>
      </c>
      <c r="AK104" s="34">
        <f>IF(AG104="NR**","NR**",RANK(trust_indicator_data!AJ104,AJ:AJ,1)+COUNTIF($AJ$2:AJ104,AJ104)-1)</f>
        <v>71</v>
      </c>
      <c r="AM104" s="34" cm="1">
        <f t="array" ref="AM104">IF(AQ104&lt;10,0,INDEX(trust_indicator_data!$A$2:$BE$127,(ROW()-ROW(trust_indicator_data!$A$1:$BE$1)),MATCH(selected_indic_name_unadj,trust_indicator_data!$A$1:$BE$1,0)))</f>
        <v>50.617282867431641</v>
      </c>
      <c r="AN104" s="34">
        <f t="shared" si="40"/>
        <v>71</v>
      </c>
      <c r="AP104" s="34">
        <f>RANK(trust_indicator_data!$AQ104,AQ:AQ,1)+COUNTIF($AQ$2:AQ104,AQ104)-1</f>
        <v>4</v>
      </c>
      <c r="AQ104" s="34" cm="1">
        <f t="array" ref="AQ104">INDEX(trust_indicator_data!$A$2:$BE$127,(ROW()-ROW(trust_indicator_data!$A$1:$BE$1)),MATCH(selected_indic_denom,trust_indicator_data!$A$1:$BE$1,0))</f>
        <v>83</v>
      </c>
      <c r="AR104" s="34" cm="1">
        <f t="array" ref="AR104">INDEX(trust_indicator_data!$A$2:$BE$127,(ROW()-ROW(trust_indicator_data!$A$1:$BE$1)),MATCH(selected_indic_name_unadj,trust_indicator_data!$A$1:$BE$1,0))/100</f>
        <v>0.50617282867431646</v>
      </c>
      <c r="AS104" s="34">
        <f>IF(AQ104&lt;10,NA(),trust_indicator_data!$AR104)</f>
        <v>0.50617282867431646</v>
      </c>
      <c r="AU104" s="34">
        <f>INDEX(table_national_indic,MATCH($AU$1,national_indicator_data!$A$1:$A$17,0),MATCH(selected_indic_name_unadj,national_indicator_data!$A$1:$R$1,0))</f>
        <v>0.47675243377685544</v>
      </c>
      <c r="AV104" s="34">
        <f>INDEX(table_national_indic,MATCH($AV$1,national_indicator_data!$A$1:$A$7,0),MATCH(selected_indic_name_unadj,national_indicator_data!$A$1:$R$1,0))</f>
        <v>0.76214221292766271</v>
      </c>
      <c r="AW104" s="34">
        <f t="shared" si="51"/>
        <v>0.65237795293797241</v>
      </c>
      <c r="AX104" s="34">
        <f t="shared" si="52"/>
        <v>0.87190647291735301</v>
      </c>
      <c r="AY104" s="34">
        <f t="shared" si="53"/>
        <v>0.5974958229431272</v>
      </c>
      <c r="AZ104" s="34">
        <f t="shared" si="54"/>
        <v>0.92678860291219822</v>
      </c>
      <c r="BA104" s="34">
        <f>INDEX(table_national_indic,MATCH($BA$1,national_indicator_data!$A$1:$A$7,0),MATCH(selected_indic_name_unadj,national_indicator_data!$A$1:$R$1,0))</f>
        <v>0</v>
      </c>
      <c r="BB104" s="34">
        <f t="shared" si="55"/>
        <v>0.36854338568009137</v>
      </c>
      <c r="BC104" s="34">
        <f t="shared" si="41"/>
        <v>0.58607735427633023</v>
      </c>
      <c r="BD104" s="34">
        <f t="shared" si="42"/>
        <v>0.31648941392943242</v>
      </c>
      <c r="BE104" s="34">
        <f t="shared" si="43"/>
        <v>0.63951357773290851</v>
      </c>
      <c r="BG104">
        <f t="shared" si="57"/>
        <v>103</v>
      </c>
      <c r="BH104">
        <f t="shared" si="56"/>
        <v>374</v>
      </c>
      <c r="BI104" s="42">
        <f t="shared" si="45"/>
        <v>0.48967552185058594</v>
      </c>
      <c r="BJ104" s="42">
        <f t="shared" si="46"/>
        <v>0.42531581831756221</v>
      </c>
      <c r="BK104" s="42">
        <f t="shared" si="47"/>
        <v>0.5284374647853729</v>
      </c>
      <c r="BL104" s="42">
        <f t="shared" si="48"/>
        <v>0.39986269183115447</v>
      </c>
      <c r="BM104" s="42">
        <f t="shared" si="49"/>
        <v>0.55420048817539702</v>
      </c>
      <c r="BN104" s="42">
        <f t="shared" si="50"/>
        <v>0.47675243377685544</v>
      </c>
    </row>
    <row r="105" spans="1:66" x14ac:dyDescent="0.25">
      <c r="A105" t="s">
        <v>100</v>
      </c>
      <c r="B105" t="s">
        <v>99</v>
      </c>
      <c r="C105" t="s">
        <v>98</v>
      </c>
      <c r="D105" t="s">
        <v>49</v>
      </c>
      <c r="E105" s="2">
        <v>219</v>
      </c>
      <c r="F105" s="2">
        <v>204</v>
      </c>
      <c r="G105" s="2">
        <v>12</v>
      </c>
      <c r="H105" s="2">
        <v>38</v>
      </c>
      <c r="I105" s="2">
        <v>47</v>
      </c>
      <c r="J105" s="2">
        <v>28</v>
      </c>
      <c r="K105" s="2">
        <v>16</v>
      </c>
      <c r="L105" s="2">
        <v>45.026176452636719</v>
      </c>
      <c r="M105" s="46" t="str">
        <f t="shared" si="35"/>
        <v>NRA*</v>
      </c>
      <c r="N105" s="2">
        <v>49.696968078613281</v>
      </c>
      <c r="O105" s="46" t="str">
        <f t="shared" si="36"/>
        <v>NRA*</v>
      </c>
      <c r="P105" s="2">
        <v>100</v>
      </c>
      <c r="Q105" s="46" t="str">
        <f t="shared" si="37"/>
        <v>NRA*</v>
      </c>
      <c r="R105" s="2">
        <v>9.8039216995239258</v>
      </c>
      <c r="S105" s="2">
        <v>8.6371526718139648</v>
      </c>
      <c r="T105" s="2">
        <v>58.333332061767578</v>
      </c>
      <c r="U105" s="4">
        <v>72.454170227050781</v>
      </c>
      <c r="V105" s="2">
        <v>70.2127685546875</v>
      </c>
      <c r="W105" s="2">
        <v>63.666725158691406</v>
      </c>
      <c r="X105" s="2">
        <v>37.5</v>
      </c>
      <c r="Y105" s="2">
        <v>37.845645904541016</v>
      </c>
      <c r="Z105" s="2">
        <v>64.285713195800781</v>
      </c>
      <c r="AA105" s="2">
        <v>64.619606018066406</v>
      </c>
      <c r="AB105" s="2">
        <v>87.671234130859375</v>
      </c>
      <c r="AC105" s="46" t="str">
        <f t="shared" si="38"/>
        <v>NRA*</v>
      </c>
      <c r="AD105" s="2">
        <v>33.333332061767578</v>
      </c>
      <c r="AE105" s="2">
        <v>35.873966217041016</v>
      </c>
      <c r="AF105" s="2"/>
      <c r="AG105" s="4">
        <f t="shared" si="39"/>
        <v>219</v>
      </c>
      <c r="AH105" s="4" t="str" cm="1">
        <f t="array" ref="AH105">IF(AG105="NR**","NR**",INDEX(trust_indicator_data!$A$2:$BE$127,(ROW()-ROW(trust_indicator_data!$A$1:$BE$1)),MATCH(selected_indic_name_adj,trust_indicator_data!$A$1:$BE$1,0)))</f>
        <v>NRA*</v>
      </c>
      <c r="AI105" s="4" t="str">
        <f>IF(AG105="NR**","NR**",IF(AH105="NRA*","NRA*",RANK(AH105,AH:AH,1)+COUNTIF($AH$2:AH105,AH105)-1))</f>
        <v>NRA*</v>
      </c>
      <c r="AJ105" s="4" cm="1">
        <f t="array" ref="AJ105">IF(AG105="NR**","NR**",INDEX(trust_indicator_data!$A$2:$BE$127,(ROW()-ROW(trust_indicator_data!$A$1:$BE$1)),MATCH(selected_indic_name_unadj,trust_indicator_data!$A$1:$BE$1,0)))</f>
        <v>45.026176452636719</v>
      </c>
      <c r="AK105" s="4">
        <f>IF(AG105="NR**","NR**",RANK(trust_indicator_data!AJ105,AJ:AJ,1)+COUNTIF($AJ$2:AJ105,AJ105)-1)</f>
        <v>37</v>
      </c>
      <c r="AM105" s="4" cm="1">
        <f t="array" ref="AM105">IF(AQ105&lt;10,0,INDEX(trust_indicator_data!$A$2:$BE$127,(ROW()-ROW(trust_indicator_data!$A$1:$BE$1)),MATCH(selected_indic_name_unadj,trust_indicator_data!$A$1:$BE$1,0)))</f>
        <v>45.026176452636719</v>
      </c>
      <c r="AN105" s="4">
        <f t="shared" si="40"/>
        <v>37</v>
      </c>
      <c r="AP105" s="4">
        <f>RANK(trust_indicator_data!$AQ105,AQ:AQ,1)+COUNTIF($AQ$2:AQ105,AQ105)-1</f>
        <v>52</v>
      </c>
      <c r="AQ105" s="4" cm="1">
        <f t="array" ref="AQ105">INDEX(trust_indicator_data!$A$2:$BE$127,(ROW()-ROW(trust_indicator_data!$A$1:$BE$1)),MATCH(selected_indic_denom,trust_indicator_data!$A$1:$BE$1,0))</f>
        <v>219</v>
      </c>
      <c r="AR105" s="4" cm="1">
        <f t="array" ref="AR105">INDEX(trust_indicator_data!$A$2:$BE$127,(ROW()-ROW(trust_indicator_data!$A$1:$BE$1)),MATCH(selected_indic_name_unadj,trust_indicator_data!$A$1:$BE$1,0))/100</f>
        <v>0.45026176452636718</v>
      </c>
      <c r="AS105" s="4">
        <f>IF(AQ105&lt;10,NA(),trust_indicator_data!$AR105)</f>
        <v>0.45026176452636718</v>
      </c>
      <c r="AU105" s="4">
        <f>INDEX(table_national_indic,MATCH($AU$1,national_indicator_data!$A$1:$A$17,0),MATCH(selected_indic_name_unadj,national_indicator_data!$A$1:$R$1,0))</f>
        <v>0.47675243377685544</v>
      </c>
      <c r="AV105" s="4">
        <f>INDEX(table_national_indic,MATCH($AV$1,national_indicator_data!$A$1:$A$7,0),MATCH(selected_indic_name_unadj,national_indicator_data!$A$1:$R$1,0))</f>
        <v>0.76214221292766271</v>
      </c>
      <c r="AW105" s="4">
        <f t="shared" si="51"/>
        <v>0.69456847508771413</v>
      </c>
      <c r="AX105" s="4">
        <f t="shared" si="52"/>
        <v>0.82971595076761129</v>
      </c>
      <c r="AY105" s="4">
        <f t="shared" si="53"/>
        <v>0.66078160616773984</v>
      </c>
      <c r="AZ105" s="4">
        <f t="shared" si="54"/>
        <v>0.86350281968758558</v>
      </c>
      <c r="BA105" s="4">
        <f>INDEX(table_national_indic,MATCH($BA$1,national_indicator_data!$A$1:$A$7,0),MATCH(selected_indic_name_unadj,national_indicator_data!$A$1:$R$1,0))</f>
        <v>0</v>
      </c>
      <c r="BB105" s="4">
        <f t="shared" si="55"/>
        <v>0.40966905329201742</v>
      </c>
      <c r="BC105" s="4">
        <f t="shared" si="41"/>
        <v>0.54425978144590648</v>
      </c>
      <c r="BD105" s="4">
        <f t="shared" si="42"/>
        <v>0.3766695791748691</v>
      </c>
      <c r="BE105" s="4">
        <f t="shared" si="43"/>
        <v>0.57778740044398857</v>
      </c>
      <c r="BG105">
        <f t="shared" si="57"/>
        <v>104</v>
      </c>
      <c r="BH105">
        <f t="shared" si="56"/>
        <v>377</v>
      </c>
      <c r="BI105" s="42">
        <f t="shared" si="45"/>
        <v>0.43888889312744139</v>
      </c>
      <c r="BJ105" s="42">
        <f t="shared" si="46"/>
        <v>0.42551966074170983</v>
      </c>
      <c r="BK105" s="42">
        <f t="shared" si="47"/>
        <v>0.52823164732780037</v>
      </c>
      <c r="BL105" s="42">
        <f t="shared" si="48"/>
        <v>0.40016566914585511</v>
      </c>
      <c r="BM105" s="42">
        <f t="shared" si="49"/>
        <v>0.55389307689810585</v>
      </c>
      <c r="BN105" s="42">
        <f t="shared" si="50"/>
        <v>0.47675243377685544</v>
      </c>
    </row>
    <row r="106" spans="1:66" x14ac:dyDescent="0.25">
      <c r="A106" t="s">
        <v>292</v>
      </c>
      <c r="B106" t="s">
        <v>291</v>
      </c>
      <c r="C106" t="s">
        <v>21</v>
      </c>
      <c r="D106" t="s">
        <v>19</v>
      </c>
      <c r="E106" s="2">
        <v>405</v>
      </c>
      <c r="F106" s="2">
        <v>375</v>
      </c>
      <c r="G106" s="2">
        <v>25</v>
      </c>
      <c r="H106" s="2">
        <v>56</v>
      </c>
      <c r="I106" s="2">
        <v>67</v>
      </c>
      <c r="J106" s="2">
        <v>73</v>
      </c>
      <c r="K106" s="2">
        <v>23</v>
      </c>
      <c r="L106" s="2">
        <v>53.658535003662109</v>
      </c>
      <c r="M106" s="46" t="str">
        <f t="shared" si="35"/>
        <v>NRA*</v>
      </c>
      <c r="N106" s="2">
        <v>54.574131011962891</v>
      </c>
      <c r="O106" s="46" t="str">
        <f t="shared" si="36"/>
        <v>NRA*</v>
      </c>
      <c r="P106" s="2">
        <v>80.357139587402344</v>
      </c>
      <c r="Q106" s="46" t="str">
        <f t="shared" si="37"/>
        <v>NRA*</v>
      </c>
      <c r="R106" s="2">
        <v>10.666666984558105</v>
      </c>
      <c r="S106" s="2">
        <v>13.147729873657227</v>
      </c>
      <c r="T106" s="2">
        <v>44</v>
      </c>
      <c r="U106" s="4">
        <v>42.240142822265625</v>
      </c>
      <c r="V106" s="2">
        <v>58.208953857421875</v>
      </c>
      <c r="W106" s="2">
        <v>59.587379455566406</v>
      </c>
      <c r="X106" s="2">
        <v>52.173912048339844</v>
      </c>
      <c r="Y106" s="2">
        <v>51.287925720214844</v>
      </c>
      <c r="Z106" s="2">
        <v>35.616439819335938</v>
      </c>
      <c r="AA106" s="2">
        <v>39.069114685058594</v>
      </c>
      <c r="AB106" s="2">
        <v>82.456138610839844</v>
      </c>
      <c r="AC106" s="46" t="str">
        <f t="shared" si="38"/>
        <v>NRA*</v>
      </c>
      <c r="AD106" s="2">
        <v>39.698493957519531</v>
      </c>
      <c r="AE106" s="2">
        <v>35.737751007080078</v>
      </c>
      <c r="AF106" s="2"/>
      <c r="AG106" s="34">
        <f t="shared" si="39"/>
        <v>405</v>
      </c>
      <c r="AH106" s="34" t="str" cm="1">
        <f t="array" ref="AH106">IF(AG106="NR**","NR**",INDEX(trust_indicator_data!$A$2:$BE$127,(ROW()-ROW(trust_indicator_data!$A$1:$BE$1)),MATCH(selected_indic_name_adj,trust_indicator_data!$A$1:$BE$1,0)))</f>
        <v>NRA*</v>
      </c>
      <c r="AI106" s="34" t="str">
        <f>IF(AG106="NR**","NR**",IF(AH106="NRA*","NRA*",RANK(AH106,AH:AH,1)+COUNTIF($AH$2:AH106,AH106)-1))</f>
        <v>NRA*</v>
      </c>
      <c r="AJ106" s="34" cm="1">
        <f t="array" ref="AJ106">IF(AG106="NR**","NR**",INDEX(trust_indicator_data!$A$2:$BE$127,(ROW()-ROW(trust_indicator_data!$A$1:$BE$1)),MATCH(selected_indic_name_unadj,trust_indicator_data!$A$1:$BE$1,0)))</f>
        <v>53.658535003662109</v>
      </c>
      <c r="AK106" s="34">
        <f>IF(AG106="NR**","NR**",RANK(trust_indicator_data!AJ106,AJ:AJ,1)+COUNTIF($AJ$2:AJ106,AJ106)-1)</f>
        <v>94</v>
      </c>
      <c r="AM106" s="34" cm="1">
        <f t="array" ref="AM106">IF(AQ106&lt;10,0,INDEX(trust_indicator_data!$A$2:$BE$127,(ROW()-ROW(trust_indicator_data!$A$1:$BE$1)),MATCH(selected_indic_name_unadj,trust_indicator_data!$A$1:$BE$1,0)))</f>
        <v>53.658535003662109</v>
      </c>
      <c r="AN106" s="34">
        <f t="shared" si="40"/>
        <v>94</v>
      </c>
      <c r="AP106" s="34">
        <f>RANK(trust_indicator_data!$AQ106,AQ:AQ,1)+COUNTIF($AQ$2:AQ106,AQ106)-1</f>
        <v>107</v>
      </c>
      <c r="AQ106" s="34" cm="1">
        <f t="array" ref="AQ106">INDEX(trust_indicator_data!$A$2:$BE$127,(ROW()-ROW(trust_indicator_data!$A$1:$BE$1)),MATCH(selected_indic_denom,trust_indicator_data!$A$1:$BE$1,0))</f>
        <v>405</v>
      </c>
      <c r="AR106" s="34" cm="1">
        <f t="array" ref="AR106">INDEX(trust_indicator_data!$A$2:$BE$127,(ROW()-ROW(trust_indicator_data!$A$1:$BE$1)),MATCH(selected_indic_name_unadj,trust_indicator_data!$A$1:$BE$1,0))/100</f>
        <v>0.53658535003662111</v>
      </c>
      <c r="AS106" s="34">
        <f>IF(AQ106&lt;10,NA(),trust_indicator_data!$AR106)</f>
        <v>0.53658535003662111</v>
      </c>
      <c r="AU106" s="34">
        <f>INDEX(table_national_indic,MATCH($AU$1,national_indicator_data!$A$1:$A$17,0),MATCH(selected_indic_name_unadj,national_indicator_data!$A$1:$R$1,0))</f>
        <v>0.47675243377685544</v>
      </c>
      <c r="AV106" s="34">
        <f>INDEX(table_national_indic,MATCH($AV$1,national_indicator_data!$A$1:$A$7,0),MATCH(selected_indic_name_unadj,national_indicator_data!$A$1:$R$1,0))</f>
        <v>0.76214221292766271</v>
      </c>
      <c r="AW106" s="34">
        <f t="shared" si="51"/>
        <v>0.71245181342766739</v>
      </c>
      <c r="AX106" s="34">
        <f t="shared" si="52"/>
        <v>0.81183261242765803</v>
      </c>
      <c r="AY106" s="34">
        <f t="shared" si="53"/>
        <v>0.68760661367766973</v>
      </c>
      <c r="AZ106" s="34">
        <f t="shared" si="54"/>
        <v>0.83667781217765569</v>
      </c>
      <c r="BA106" s="34">
        <f>INDEX(table_national_indic,MATCH($BA$1,national_indicator_data!$A$1:$A$7,0),MATCH(selected_indic_name_unadj,national_indicator_data!$A$1:$R$1,0))</f>
        <v>0</v>
      </c>
      <c r="BB106" s="34">
        <f t="shared" si="55"/>
        <v>0.42731214805919282</v>
      </c>
      <c r="BC106" s="34">
        <f t="shared" si="41"/>
        <v>0.52642213617325251</v>
      </c>
      <c r="BD106" s="34">
        <f t="shared" si="42"/>
        <v>0.4028307248322458</v>
      </c>
      <c r="BE106" s="34">
        <f t="shared" si="43"/>
        <v>0.55118979932261158</v>
      </c>
      <c r="BG106">
        <f t="shared" si="57"/>
        <v>105</v>
      </c>
      <c r="BH106">
        <f t="shared" si="56"/>
        <v>383</v>
      </c>
      <c r="BI106" s="42">
        <f t="shared" si="45"/>
        <v>0.54447441101074223</v>
      </c>
      <c r="BJ106" s="42">
        <f t="shared" si="46"/>
        <v>0.42592017374673719</v>
      </c>
      <c r="BK106" s="42">
        <f t="shared" si="47"/>
        <v>0.52782727699649512</v>
      </c>
      <c r="BL106" s="42">
        <f t="shared" si="48"/>
        <v>0.40076102037988776</v>
      </c>
      <c r="BM106" s="42">
        <f t="shared" si="49"/>
        <v>0.55328906571483338</v>
      </c>
      <c r="BN106" s="42">
        <f t="shared" si="50"/>
        <v>0.47675243377685544</v>
      </c>
    </row>
    <row r="107" spans="1:66" x14ac:dyDescent="0.25">
      <c r="A107" t="s">
        <v>260</v>
      </c>
      <c r="B107" t="s">
        <v>259</v>
      </c>
      <c r="C107" t="s">
        <v>42</v>
      </c>
      <c r="D107" t="s">
        <v>40</v>
      </c>
      <c r="E107" s="2">
        <v>195</v>
      </c>
      <c r="F107" s="2">
        <v>188</v>
      </c>
      <c r="G107" s="2">
        <v>6</v>
      </c>
      <c r="H107" s="2">
        <v>7</v>
      </c>
      <c r="I107" s="2">
        <v>9</v>
      </c>
      <c r="J107" s="2">
        <v>12</v>
      </c>
      <c r="K107" s="2">
        <v>2</v>
      </c>
      <c r="L107" s="2">
        <v>39.814815521240234</v>
      </c>
      <c r="M107" s="46" t="str">
        <f t="shared" si="35"/>
        <v>NRA*</v>
      </c>
      <c r="N107" s="2">
        <v>82.608695983886719</v>
      </c>
      <c r="O107" s="46" t="str">
        <f t="shared" si="36"/>
        <v>NRA*</v>
      </c>
      <c r="P107" s="2"/>
      <c r="Q107" s="46" t="str">
        <f t="shared" si="37"/>
        <v>NRA*</v>
      </c>
      <c r="R107" s="2">
        <v>43.617019653320313</v>
      </c>
      <c r="S107" s="2">
        <v>38.758460998535156</v>
      </c>
      <c r="T107" s="2"/>
      <c r="V107" s="2"/>
      <c r="W107" s="2"/>
      <c r="X107" s="2"/>
      <c r="Y107" s="2"/>
      <c r="Z107" s="2">
        <v>100</v>
      </c>
      <c r="AA107" s="2">
        <v>86.174484252929688</v>
      </c>
      <c r="AB107" s="2">
        <v>95.454544067382813</v>
      </c>
      <c r="AC107" s="46" t="str">
        <f t="shared" si="38"/>
        <v>NRA*</v>
      </c>
      <c r="AD107" s="2">
        <v>36.507938385009766</v>
      </c>
      <c r="AE107" s="2">
        <v>39.271190643310547</v>
      </c>
      <c r="AF107" s="2"/>
      <c r="AG107" s="4">
        <f t="shared" si="39"/>
        <v>195</v>
      </c>
      <c r="AH107" s="4" t="str" cm="1">
        <f t="array" ref="AH107">IF(AG107="NR**","NR**",INDEX(trust_indicator_data!$A$2:$BE$127,(ROW()-ROW(trust_indicator_data!$A$1:$BE$1)),MATCH(selected_indic_name_adj,trust_indicator_data!$A$1:$BE$1,0)))</f>
        <v>NRA*</v>
      </c>
      <c r="AI107" s="4" t="str">
        <f>IF(AG107="NR**","NR**",IF(AH107="NRA*","NRA*",RANK(AH107,AH:AH,1)+COUNTIF($AH$2:AH107,AH107)-1))</f>
        <v>NRA*</v>
      </c>
      <c r="AJ107" s="4" cm="1">
        <f t="array" ref="AJ107">IF(AG107="NR**","NR**",INDEX(trust_indicator_data!$A$2:$BE$127,(ROW()-ROW(trust_indicator_data!$A$1:$BE$1)),MATCH(selected_indic_name_unadj,trust_indicator_data!$A$1:$BE$1,0)))</f>
        <v>39.814815521240234</v>
      </c>
      <c r="AK107" s="4">
        <f>IF(AG107="NR**","NR**",RANK(trust_indicator_data!AJ107,AJ:AJ,1)+COUNTIF($AJ$2:AJ107,AJ107)-1)</f>
        <v>18</v>
      </c>
      <c r="AM107" s="4" cm="1">
        <f t="array" ref="AM107">IF(AQ107&lt;10,0,INDEX(trust_indicator_data!$A$2:$BE$127,(ROW()-ROW(trust_indicator_data!$A$1:$BE$1)),MATCH(selected_indic_name_unadj,trust_indicator_data!$A$1:$BE$1,0)))</f>
        <v>39.814815521240234</v>
      </c>
      <c r="AN107" s="4">
        <f t="shared" si="40"/>
        <v>18</v>
      </c>
      <c r="AP107" s="4">
        <f>RANK(trust_indicator_data!$AQ107,AQ:AQ,1)+COUNTIF($AQ$2:AQ107,AQ107)-1</f>
        <v>40</v>
      </c>
      <c r="AQ107" s="4" cm="1">
        <f t="array" ref="AQ107">INDEX(trust_indicator_data!$A$2:$BE$127,(ROW()-ROW(trust_indicator_data!$A$1:$BE$1)),MATCH(selected_indic_denom,trust_indicator_data!$A$1:$BE$1,0))</f>
        <v>195</v>
      </c>
      <c r="AR107" s="4" cm="1">
        <f t="array" ref="AR107">INDEX(trust_indicator_data!$A$2:$BE$127,(ROW()-ROW(trust_indicator_data!$A$1:$BE$1)),MATCH(selected_indic_name_unadj,trust_indicator_data!$A$1:$BE$1,0))/100</f>
        <v>0.39814815521240232</v>
      </c>
      <c r="AS107" s="4">
        <f>IF(AQ107&lt;10,NA(),trust_indicator_data!$AR107)</f>
        <v>0.39814815521240232</v>
      </c>
      <c r="AU107" s="4">
        <f>INDEX(table_national_indic,MATCH($AU$1,national_indicator_data!$A$1:$A$17,0),MATCH(selected_indic_name_unadj,national_indicator_data!$A$1:$R$1,0))</f>
        <v>0.47675243377685544</v>
      </c>
      <c r="AV107" s="4">
        <f>INDEX(table_national_indic,MATCH($AV$1,national_indicator_data!$A$1:$A$7,0),MATCH(selected_indic_name_unadj,national_indicator_data!$A$1:$R$1,0))</f>
        <v>0.76214221292766271</v>
      </c>
      <c r="AW107" s="4">
        <f t="shared" si="51"/>
        <v>0.69053072552371941</v>
      </c>
      <c r="AX107" s="4">
        <f t="shared" si="52"/>
        <v>0.83375370033160601</v>
      </c>
      <c r="AY107" s="4">
        <f t="shared" si="53"/>
        <v>0.65472498182174776</v>
      </c>
      <c r="AZ107" s="4">
        <f t="shared" si="54"/>
        <v>0.86955944403357766</v>
      </c>
      <c r="BA107" s="4">
        <f>INDEX(table_national_indic,MATCH($BA$1,national_indicator_data!$A$1:$A$7,0),MATCH(selected_indic_name_unadj,national_indicator_data!$A$1:$R$1,0))</f>
        <v>0</v>
      </c>
      <c r="BB107" s="4">
        <f t="shared" si="55"/>
        <v>0.40570073239840299</v>
      </c>
      <c r="BC107" s="4">
        <f t="shared" si="41"/>
        <v>0.54828019369799519</v>
      </c>
      <c r="BD107" s="4">
        <f t="shared" si="42"/>
        <v>0.37080928482430259</v>
      </c>
      <c r="BE107" s="4">
        <f t="shared" si="43"/>
        <v>0.58376442688109209</v>
      </c>
      <c r="BG107">
        <f t="shared" si="57"/>
        <v>106</v>
      </c>
      <c r="BH107">
        <f t="shared" si="56"/>
        <v>399</v>
      </c>
      <c r="BI107" s="42">
        <f t="shared" si="45"/>
        <v>0.40055248260498044</v>
      </c>
      <c r="BJ107" s="42">
        <f t="shared" si="46"/>
        <v>0.42694390455083081</v>
      </c>
      <c r="BK107" s="42">
        <f t="shared" si="47"/>
        <v>0.52679382667392138</v>
      </c>
      <c r="BL107" s="42">
        <f t="shared" si="48"/>
        <v>0.40228310340037765</v>
      </c>
      <c r="BM107" s="42">
        <f t="shared" si="49"/>
        <v>0.55174516040821575</v>
      </c>
      <c r="BN107" s="42">
        <f t="shared" si="50"/>
        <v>0.47675243377685544</v>
      </c>
    </row>
    <row r="108" spans="1:66" x14ac:dyDescent="0.25">
      <c r="A108" t="s">
        <v>174</v>
      </c>
      <c r="B108" t="s">
        <v>173</v>
      </c>
      <c r="C108" t="s">
        <v>69</v>
      </c>
      <c r="D108" t="s">
        <v>67</v>
      </c>
      <c r="E108" s="2">
        <v>457</v>
      </c>
      <c r="F108" s="2">
        <v>435</v>
      </c>
      <c r="G108" s="2">
        <v>12</v>
      </c>
      <c r="H108" s="2">
        <v>165</v>
      </c>
      <c r="I108" s="2">
        <v>190</v>
      </c>
      <c r="J108" s="2">
        <v>91</v>
      </c>
      <c r="K108" s="2">
        <v>43</v>
      </c>
      <c r="L108" s="2">
        <v>31.447963714599609</v>
      </c>
      <c r="M108" s="46" t="str">
        <f t="shared" si="35"/>
        <v>NRA*</v>
      </c>
      <c r="N108" s="2">
        <v>69.351226806640625</v>
      </c>
      <c r="O108" s="46" t="str">
        <f t="shared" si="36"/>
        <v>NRA*</v>
      </c>
      <c r="P108" s="2">
        <v>43.030303955078125</v>
      </c>
      <c r="Q108" s="46" t="str">
        <f t="shared" si="37"/>
        <v>NRA*</v>
      </c>
      <c r="R108" s="2">
        <v>24.137931823730469</v>
      </c>
      <c r="S108" s="2">
        <v>18.240261077880859</v>
      </c>
      <c r="T108" s="2">
        <v>83.333335876464844</v>
      </c>
      <c r="U108" s="4">
        <v>84.123115539550781</v>
      </c>
      <c r="V108" s="2">
        <v>53.157894134521484</v>
      </c>
      <c r="W108" s="2">
        <v>58.262336730957031</v>
      </c>
      <c r="X108" s="2">
        <v>60.465114593505859</v>
      </c>
      <c r="Y108" s="2">
        <v>69.301475524902344</v>
      </c>
      <c r="Z108" s="2">
        <v>59.340660095214844</v>
      </c>
      <c r="AA108" s="2">
        <v>67.159095764160156</v>
      </c>
      <c r="AB108" s="2">
        <v>90.9375</v>
      </c>
      <c r="AC108" s="46" t="str">
        <f t="shared" si="38"/>
        <v>NRA*</v>
      </c>
      <c r="AD108" s="2">
        <v>30.162412643432617</v>
      </c>
      <c r="AE108" s="2">
        <v>37.728916168212891</v>
      </c>
      <c r="AF108" s="2"/>
      <c r="AG108" s="34">
        <f t="shared" si="39"/>
        <v>457</v>
      </c>
      <c r="AH108" s="34" t="str" cm="1">
        <f t="array" ref="AH108">IF(AG108="NR**","NR**",INDEX(trust_indicator_data!$A$2:$BE$127,(ROW()-ROW(trust_indicator_data!$A$1:$BE$1)),MATCH(selected_indic_name_adj,trust_indicator_data!$A$1:$BE$1,0)))</f>
        <v>NRA*</v>
      </c>
      <c r="AI108" s="34" t="str">
        <f>IF(AG108="NR**","NR**",IF(AH108="NRA*","NRA*",RANK(AH108,AH:AH,1)+COUNTIF($AH$2:AH108,AH108)-1))</f>
        <v>NRA*</v>
      </c>
      <c r="AJ108" s="34" cm="1">
        <f t="array" ref="AJ108">IF(AG108="NR**","NR**",INDEX(trust_indicator_data!$A$2:$BE$127,(ROW()-ROW(trust_indicator_data!$A$1:$BE$1)),MATCH(selected_indic_name_unadj,trust_indicator_data!$A$1:$BE$1,0)))</f>
        <v>31.447963714599609</v>
      </c>
      <c r="AK108" s="34">
        <f>IF(AG108="NR**","NR**",RANK(trust_indicator_data!AJ108,AJ:AJ,1)+COUNTIF($AJ$2:AJ108,AJ108)-1)</f>
        <v>5</v>
      </c>
      <c r="AM108" s="34" cm="1">
        <f t="array" ref="AM108">IF(AQ108&lt;10,0,INDEX(trust_indicator_data!$A$2:$BE$127,(ROW()-ROW(trust_indicator_data!$A$1:$BE$1)),MATCH(selected_indic_name_unadj,trust_indicator_data!$A$1:$BE$1,0)))</f>
        <v>31.447963714599609</v>
      </c>
      <c r="AN108" s="34">
        <f t="shared" si="40"/>
        <v>5</v>
      </c>
      <c r="AP108" s="34">
        <f>RANK(trust_indicator_data!$AQ108,AQ:AQ,1)+COUNTIF($AQ$2:AQ108,AQ108)-1</f>
        <v>114</v>
      </c>
      <c r="AQ108" s="34" cm="1">
        <f t="array" ref="AQ108">INDEX(trust_indicator_data!$A$2:$BE$127,(ROW()-ROW(trust_indicator_data!$A$1:$BE$1)),MATCH(selected_indic_denom,trust_indicator_data!$A$1:$BE$1,0))</f>
        <v>457</v>
      </c>
      <c r="AR108" s="34" cm="1">
        <f t="array" ref="AR108">INDEX(trust_indicator_data!$A$2:$BE$127,(ROW()-ROW(trust_indicator_data!$A$1:$BE$1)),MATCH(selected_indic_name_unadj,trust_indicator_data!$A$1:$BE$1,0))/100</f>
        <v>0.31447963714599608</v>
      </c>
      <c r="AS108" s="34">
        <f>IF(AQ108&lt;10,NA(),trust_indicator_data!$AR108)</f>
        <v>0.31447963714599608</v>
      </c>
      <c r="AU108" s="34">
        <f>INDEX(table_national_indic,MATCH($AU$1,national_indicator_data!$A$1:$A$17,0),MATCH(selected_indic_name_unadj,national_indicator_data!$A$1:$R$1,0))</f>
        <v>0.47675243377685544</v>
      </c>
      <c r="AV108" s="34">
        <f>INDEX(table_national_indic,MATCH($AV$1,national_indicator_data!$A$1:$A$7,0),MATCH(selected_indic_name_unadj,national_indicator_data!$A$1:$R$1,0))</f>
        <v>0.76214221292766271</v>
      </c>
      <c r="AW108" s="34">
        <f t="shared" si="51"/>
        <v>0.71536418595516393</v>
      </c>
      <c r="AX108" s="34">
        <f t="shared" si="52"/>
        <v>0.80892023990016149</v>
      </c>
      <c r="AY108" s="34">
        <f t="shared" si="53"/>
        <v>0.69197517246891449</v>
      </c>
      <c r="AZ108" s="34">
        <f t="shared" si="54"/>
        <v>0.83230925338641093</v>
      </c>
      <c r="BA108" s="34">
        <f>INDEX(table_national_indic,MATCH($BA$1,national_indicator_data!$A$1:$A$7,0),MATCH(selected_indic_name_unadj,national_indicator_data!$A$1:$R$1,0))</f>
        <v>0</v>
      </c>
      <c r="BB108" s="34">
        <f t="shared" si="55"/>
        <v>0.43019479783214509</v>
      </c>
      <c r="BC108" s="34">
        <f t="shared" si="41"/>
        <v>0.52351340113968625</v>
      </c>
      <c r="BD108" s="34">
        <f t="shared" si="42"/>
        <v>0.40711964921484201</v>
      </c>
      <c r="BE108" s="34">
        <f t="shared" si="43"/>
        <v>0.54684229700230125</v>
      </c>
      <c r="BG108">
        <f t="shared" si="57"/>
        <v>107</v>
      </c>
      <c r="BH108">
        <f t="shared" si="56"/>
        <v>405</v>
      </c>
      <c r="BI108" s="42">
        <f t="shared" si="45"/>
        <v>0.53658535003662111</v>
      </c>
      <c r="BJ108" s="42">
        <f t="shared" si="46"/>
        <v>0.42731214805919282</v>
      </c>
      <c r="BK108" s="42">
        <f t="shared" si="47"/>
        <v>0.52642213617325251</v>
      </c>
      <c r="BL108" s="42">
        <f t="shared" si="48"/>
        <v>0.4028307248322458</v>
      </c>
      <c r="BM108" s="42">
        <f t="shared" si="49"/>
        <v>0.55118979932261158</v>
      </c>
      <c r="BN108" s="42">
        <f t="shared" si="50"/>
        <v>0.47675243377685544</v>
      </c>
    </row>
    <row r="109" spans="1:66" x14ac:dyDescent="0.25">
      <c r="A109" t="s">
        <v>258</v>
      </c>
      <c r="B109" t="s">
        <v>257</v>
      </c>
      <c r="C109" t="s">
        <v>74</v>
      </c>
      <c r="D109" t="s">
        <v>72</v>
      </c>
      <c r="E109" s="2">
        <v>786</v>
      </c>
      <c r="F109" s="2">
        <v>729</v>
      </c>
      <c r="G109" s="2">
        <v>44</v>
      </c>
      <c r="H109" s="2">
        <v>105</v>
      </c>
      <c r="I109" s="2">
        <v>141</v>
      </c>
      <c r="J109" s="2">
        <v>86</v>
      </c>
      <c r="K109" s="2">
        <v>39</v>
      </c>
      <c r="L109" s="2">
        <v>45.90643310546875</v>
      </c>
      <c r="M109" s="46" t="str">
        <f t="shared" si="35"/>
        <v>NRA*</v>
      </c>
      <c r="N109" s="2">
        <v>45.017791748046875</v>
      </c>
      <c r="O109" s="46" t="str">
        <f t="shared" si="36"/>
        <v>NRA*</v>
      </c>
      <c r="P109" s="2">
        <v>77.142860412597656</v>
      </c>
      <c r="Q109" s="46" t="str">
        <f t="shared" si="37"/>
        <v>NRA*</v>
      </c>
      <c r="R109" s="2">
        <v>13.991769790649414</v>
      </c>
      <c r="S109" s="2">
        <v>16.320703506469727</v>
      </c>
      <c r="T109" s="2">
        <v>65.909088134765625</v>
      </c>
      <c r="U109" s="4">
        <v>67.793586730957031</v>
      </c>
      <c r="V109" s="2">
        <v>85.10638427734375</v>
      </c>
      <c r="W109" s="2">
        <v>86.689605712890625</v>
      </c>
      <c r="X109" s="2">
        <v>56.410255432128906</v>
      </c>
      <c r="Y109" s="2">
        <v>56.512752532958984</v>
      </c>
      <c r="Z109" s="2">
        <v>52.325580596923828</v>
      </c>
      <c r="AA109" s="2">
        <v>53.558967590332031</v>
      </c>
      <c r="AB109" s="2">
        <v>98.496238708496094</v>
      </c>
      <c r="AC109" s="46" t="str">
        <f t="shared" si="38"/>
        <v>NRA*</v>
      </c>
      <c r="AD109" s="2">
        <v>37.8865966796875</v>
      </c>
      <c r="AE109" s="2">
        <v>32.966178894042969</v>
      </c>
      <c r="AF109" s="2"/>
      <c r="AG109" s="4">
        <f t="shared" si="39"/>
        <v>786</v>
      </c>
      <c r="AH109" s="4" t="str" cm="1">
        <f t="array" ref="AH109">IF(AG109="NR**","NR**",INDEX(trust_indicator_data!$A$2:$BE$127,(ROW()-ROW(trust_indicator_data!$A$1:$BE$1)),MATCH(selected_indic_name_adj,trust_indicator_data!$A$1:$BE$1,0)))</f>
        <v>NRA*</v>
      </c>
      <c r="AI109" s="4" t="str">
        <f>IF(AG109="NR**","NR**",IF(AH109="NRA*","NRA*",RANK(AH109,AH:AH,1)+COUNTIF($AH$2:AH109,AH109)-1))</f>
        <v>NRA*</v>
      </c>
      <c r="AJ109" s="4" cm="1">
        <f t="array" ref="AJ109">IF(AG109="NR**","NR**",INDEX(trust_indicator_data!$A$2:$BE$127,(ROW()-ROW(trust_indicator_data!$A$1:$BE$1)),MATCH(selected_indic_name_unadj,trust_indicator_data!$A$1:$BE$1,0)))</f>
        <v>45.90643310546875</v>
      </c>
      <c r="AK109" s="4">
        <f>IF(AG109="NR**","NR**",RANK(trust_indicator_data!AJ109,AJ:AJ,1)+COUNTIF($AJ$2:AJ109,AJ109)-1)</f>
        <v>42</v>
      </c>
      <c r="AM109" s="4" cm="1">
        <f t="array" ref="AM109">IF(AQ109&lt;10,0,INDEX(trust_indicator_data!$A$2:$BE$127,(ROW()-ROW(trust_indicator_data!$A$1:$BE$1)),MATCH(selected_indic_name_unadj,trust_indicator_data!$A$1:$BE$1,0)))</f>
        <v>45.90643310546875</v>
      </c>
      <c r="AN109" s="4">
        <f t="shared" si="40"/>
        <v>42</v>
      </c>
      <c r="AP109" s="4">
        <f>RANK(trust_indicator_data!$AQ109,AQ:AQ,1)+COUNTIF($AQ$2:AQ109,AQ109)-1</f>
        <v>125</v>
      </c>
      <c r="AQ109" s="4" cm="1">
        <f t="array" ref="AQ109">INDEX(trust_indicator_data!$A$2:$BE$127,(ROW()-ROW(trust_indicator_data!$A$1:$BE$1)),MATCH(selected_indic_denom,trust_indicator_data!$A$1:$BE$1,0))</f>
        <v>786</v>
      </c>
      <c r="AR109" s="4" cm="1">
        <f t="array" ref="AR109">INDEX(trust_indicator_data!$A$2:$BE$127,(ROW()-ROW(trust_indicator_data!$A$1:$BE$1)),MATCH(selected_indic_name_unadj,trust_indicator_data!$A$1:$BE$1,0))/100</f>
        <v>0.45906433105468752</v>
      </c>
      <c r="AS109" s="4">
        <f>IF(AQ109&lt;10,NA(),trust_indicator_data!$AR109)</f>
        <v>0.45906433105468752</v>
      </c>
      <c r="AU109" s="4">
        <f>INDEX(table_national_indic,MATCH($AU$1,national_indicator_data!$A$1:$A$17,0),MATCH(selected_indic_name_unadj,national_indicator_data!$A$1:$R$1,0))</f>
        <v>0.47675243377685544</v>
      </c>
      <c r="AV109" s="4">
        <f>INDEX(table_national_indic,MATCH($AV$1,national_indicator_data!$A$1:$A$7,0),MATCH(selected_indic_name_unadj,national_indicator_data!$A$1:$R$1,0))</f>
        <v>0.76214221292766271</v>
      </c>
      <c r="AW109" s="4">
        <f t="shared" si="51"/>
        <v>0.72647339417734158</v>
      </c>
      <c r="AX109" s="4">
        <f t="shared" si="52"/>
        <v>0.79781103167798384</v>
      </c>
      <c r="AY109" s="4">
        <f t="shared" si="53"/>
        <v>0.70863898480218113</v>
      </c>
      <c r="AZ109" s="4">
        <f t="shared" si="54"/>
        <v>0.81564544105314429</v>
      </c>
      <c r="BA109" s="4">
        <f>INDEX(table_national_indic,MATCH($BA$1,national_indicator_data!$A$1:$A$7,0),MATCH(selected_indic_name_unadj,national_indicator_data!$A$1:$R$1,0))</f>
        <v>0</v>
      </c>
      <c r="BB109" s="4">
        <f t="shared" si="55"/>
        <v>0.44121153233835381</v>
      </c>
      <c r="BC109" s="4">
        <f t="shared" si="41"/>
        <v>0.51241159327579811</v>
      </c>
      <c r="BD109" s="4">
        <f t="shared" si="42"/>
        <v>0.42354197490305601</v>
      </c>
      <c r="BE109" s="4">
        <f t="shared" si="43"/>
        <v>0.5302288322525166</v>
      </c>
      <c r="BG109">
        <f t="shared" si="57"/>
        <v>108</v>
      </c>
      <c r="BH109">
        <f t="shared" si="56"/>
        <v>406</v>
      </c>
      <c r="BI109" s="42">
        <f t="shared" si="45"/>
        <v>0.44542774200439456</v>
      </c>
      <c r="BJ109" s="42">
        <f t="shared" si="46"/>
        <v>0.42737273090032618</v>
      </c>
      <c r="BK109" s="42">
        <f t="shared" si="47"/>
        <v>0.52636098873041381</v>
      </c>
      <c r="BL109" s="42">
        <f t="shared" si="48"/>
        <v>0.40292082452406008</v>
      </c>
      <c r="BM109" s="42">
        <f t="shared" si="49"/>
        <v>0.5510984318877461</v>
      </c>
      <c r="BN109" s="42">
        <f t="shared" si="50"/>
        <v>0.47675243377685544</v>
      </c>
    </row>
    <row r="110" spans="1:66" x14ac:dyDescent="0.25">
      <c r="A110" t="s">
        <v>97</v>
      </c>
      <c r="B110" t="s">
        <v>96</v>
      </c>
      <c r="C110" t="s">
        <v>54</v>
      </c>
      <c r="D110" t="s">
        <v>52</v>
      </c>
      <c r="E110" s="2">
        <v>337</v>
      </c>
      <c r="F110" s="2">
        <v>307</v>
      </c>
      <c r="G110" s="2">
        <v>24</v>
      </c>
      <c r="H110" s="2">
        <v>54</v>
      </c>
      <c r="I110" s="2">
        <v>67</v>
      </c>
      <c r="J110" s="2">
        <v>52</v>
      </c>
      <c r="K110" s="2">
        <v>15</v>
      </c>
      <c r="L110" s="2">
        <v>43.650794982910156</v>
      </c>
      <c r="M110" s="46" t="str">
        <f t="shared" si="35"/>
        <v>NRA*</v>
      </c>
      <c r="N110" s="2">
        <v>53.198654174804688</v>
      </c>
      <c r="O110" s="46" t="str">
        <f t="shared" si="36"/>
        <v>NRA*</v>
      </c>
      <c r="P110" s="2">
        <v>88.888885498046875</v>
      </c>
      <c r="Q110" s="46" t="str">
        <f t="shared" si="37"/>
        <v>NRA*</v>
      </c>
      <c r="R110" s="2">
        <v>23.452768325805664</v>
      </c>
      <c r="S110" s="2">
        <v>21.120447158813477</v>
      </c>
      <c r="T110" s="2">
        <v>83.333335876464844</v>
      </c>
      <c r="U110" s="4">
        <v>89.5943603515625</v>
      </c>
      <c r="V110" s="2">
        <v>76.119400024414063</v>
      </c>
      <c r="W110" s="2">
        <v>74.07244873046875</v>
      </c>
      <c r="X110" s="2">
        <v>60</v>
      </c>
      <c r="Y110" s="2">
        <v>61.935832977294922</v>
      </c>
      <c r="Z110" s="2">
        <v>63.461540222167969</v>
      </c>
      <c r="AA110" s="2">
        <v>60.322479248046875</v>
      </c>
      <c r="AB110" s="2">
        <v>96.153846740722656</v>
      </c>
      <c r="AC110" s="46" t="str">
        <f t="shared" si="38"/>
        <v>NRA*</v>
      </c>
      <c r="AD110" s="2">
        <v>30.838323593139648</v>
      </c>
      <c r="AE110" s="2">
        <v>32.316287994384766</v>
      </c>
      <c r="AF110" s="2"/>
      <c r="AG110" s="34">
        <f t="shared" si="39"/>
        <v>337</v>
      </c>
      <c r="AH110" s="34" t="str" cm="1">
        <f t="array" ref="AH110">IF(AG110="NR**","NR**",INDEX(trust_indicator_data!$A$2:$BE$127,(ROW()-ROW(trust_indicator_data!$A$1:$BE$1)),MATCH(selected_indic_name_adj,trust_indicator_data!$A$1:$BE$1,0)))</f>
        <v>NRA*</v>
      </c>
      <c r="AI110" s="34" t="str">
        <f>IF(AG110="NR**","NR**",IF(AH110="NRA*","NRA*",RANK(AH110,AH:AH,1)+COUNTIF($AH$2:AH110,AH110)-1))</f>
        <v>NRA*</v>
      </c>
      <c r="AJ110" s="34" cm="1">
        <f t="array" ref="AJ110">IF(AG110="NR**","NR**",INDEX(trust_indicator_data!$A$2:$BE$127,(ROW()-ROW(trust_indicator_data!$A$1:$BE$1)),MATCH(selected_indic_name_unadj,trust_indicator_data!$A$1:$BE$1,0)))</f>
        <v>43.650794982910156</v>
      </c>
      <c r="AK110" s="34">
        <f>IF(AG110="NR**","NR**",RANK(trust_indicator_data!AJ110,AJ:AJ,1)+COUNTIF($AJ$2:AJ110,AJ110)-1)</f>
        <v>30</v>
      </c>
      <c r="AM110" s="34" cm="1">
        <f t="array" ref="AM110">IF(AQ110&lt;10,0,INDEX(trust_indicator_data!$A$2:$BE$127,(ROW()-ROW(trust_indicator_data!$A$1:$BE$1)),MATCH(selected_indic_name_unadj,trust_indicator_data!$A$1:$BE$1,0)))</f>
        <v>43.650794982910156</v>
      </c>
      <c r="AN110" s="34">
        <f t="shared" si="40"/>
        <v>30</v>
      </c>
      <c r="AP110" s="34">
        <f>RANK(trust_indicator_data!$AQ110,AQ:AQ,1)+COUNTIF($AQ$2:AQ110,AQ110)-1</f>
        <v>92</v>
      </c>
      <c r="AQ110" s="34" cm="1">
        <f t="array" ref="AQ110">INDEX(trust_indicator_data!$A$2:$BE$127,(ROW()-ROW(trust_indicator_data!$A$1:$BE$1)),MATCH(selected_indic_denom,trust_indicator_data!$A$1:$BE$1,0))</f>
        <v>337</v>
      </c>
      <c r="AR110" s="34" cm="1">
        <f t="array" ref="AR110">INDEX(trust_indicator_data!$A$2:$BE$127,(ROW()-ROW(trust_indicator_data!$A$1:$BE$1)),MATCH(selected_indic_name_unadj,trust_indicator_data!$A$1:$BE$1,0))/100</f>
        <v>0.43650794982910157</v>
      </c>
      <c r="AS110" s="34">
        <f>IF(AQ110&lt;10,NA(),trust_indicator_data!$AR110)</f>
        <v>0.43650794982910157</v>
      </c>
      <c r="AU110" s="34">
        <f>INDEX(table_national_indic,MATCH($AU$1,national_indicator_data!$A$1:$A$17,0),MATCH(selected_indic_name_unadj,national_indicator_data!$A$1:$R$1,0))</f>
        <v>0.47675243377685544</v>
      </c>
      <c r="AV110" s="34">
        <f>INDEX(table_national_indic,MATCH($AV$1,national_indicator_data!$A$1:$A$7,0),MATCH(selected_indic_name_unadj,national_indicator_data!$A$1:$R$1,0))</f>
        <v>0.76214221292766271</v>
      </c>
      <c r="AW110" s="34">
        <f t="shared" si="51"/>
        <v>0.70766874185737838</v>
      </c>
      <c r="AX110" s="34">
        <f t="shared" si="52"/>
        <v>0.81661568399794704</v>
      </c>
      <c r="AY110" s="34">
        <f t="shared" si="53"/>
        <v>0.68043200632223622</v>
      </c>
      <c r="AZ110" s="34">
        <f t="shared" si="54"/>
        <v>0.8438524195330892</v>
      </c>
      <c r="BA110" s="34">
        <f>INDEX(table_national_indic,MATCH($BA$1,national_indicator_data!$A$1:$A$7,0),MATCH(selected_indic_name_unadj,national_indicator_data!$A$1:$R$1,0))</f>
        <v>0</v>
      </c>
      <c r="BB110" s="34">
        <f t="shared" si="55"/>
        <v>0.42258328736106449</v>
      </c>
      <c r="BC110" s="34">
        <f t="shared" si="41"/>
        <v>0.53119724287150261</v>
      </c>
      <c r="BD110" s="34">
        <f t="shared" si="42"/>
        <v>0.39580314974237035</v>
      </c>
      <c r="BE110" s="34">
        <f t="shared" si="43"/>
        <v>0.55832119220055343</v>
      </c>
      <c r="BG110">
        <f t="shared" si="57"/>
        <v>109</v>
      </c>
      <c r="BH110">
        <f t="shared" si="56"/>
        <v>415</v>
      </c>
      <c r="BI110" s="42">
        <f t="shared" si="45"/>
        <v>0.48724491119384766</v>
      </c>
      <c r="BJ110" s="42">
        <f t="shared" si="46"/>
        <v>0.42790813195002891</v>
      </c>
      <c r="BK110" s="42">
        <f t="shared" si="47"/>
        <v>0.52582062861069334</v>
      </c>
      <c r="BL110" s="42">
        <f t="shared" si="48"/>
        <v>0.40371715261626889</v>
      </c>
      <c r="BM110" s="42">
        <f t="shared" si="49"/>
        <v>0.55029096854269333</v>
      </c>
      <c r="BN110" s="42">
        <f t="shared" si="50"/>
        <v>0.47675243377685544</v>
      </c>
    </row>
    <row r="111" spans="1:66" x14ac:dyDescent="0.25">
      <c r="A111" t="s">
        <v>206</v>
      </c>
      <c r="B111" t="s">
        <v>205</v>
      </c>
      <c r="C111" t="s">
        <v>74</v>
      </c>
      <c r="D111" t="s">
        <v>72</v>
      </c>
      <c r="E111" s="2">
        <v>358</v>
      </c>
      <c r="F111" s="2">
        <v>325</v>
      </c>
      <c r="G111" s="2">
        <v>18</v>
      </c>
      <c r="H111" s="2">
        <v>85</v>
      </c>
      <c r="I111" s="2">
        <v>85</v>
      </c>
      <c r="J111" s="2">
        <v>61</v>
      </c>
      <c r="K111" s="2">
        <v>36</v>
      </c>
      <c r="L111" s="2">
        <v>43.768115997314453</v>
      </c>
      <c r="M111" s="46" t="str">
        <f t="shared" si="35"/>
        <v>NRA*</v>
      </c>
      <c r="N111" s="2">
        <v>53.9822998046875</v>
      </c>
      <c r="O111" s="46" t="str">
        <f t="shared" si="36"/>
        <v>NRA*</v>
      </c>
      <c r="P111" s="2">
        <v>94.117645263671875</v>
      </c>
      <c r="Q111" s="46" t="str">
        <f t="shared" si="37"/>
        <v>NRA*</v>
      </c>
      <c r="R111" s="2">
        <v>28.615385055541992</v>
      </c>
      <c r="S111" s="2">
        <v>23.757867813110352</v>
      </c>
      <c r="T111" s="2">
        <v>44.444442749023438</v>
      </c>
      <c r="U111" s="4">
        <v>58.634899139404297</v>
      </c>
      <c r="V111" s="2">
        <v>87.058822631835938</v>
      </c>
      <c r="W111" s="2">
        <v>82.984771728515625</v>
      </c>
      <c r="X111" s="2">
        <v>83.333335876464844</v>
      </c>
      <c r="Y111" s="2">
        <v>75.940864562988281</v>
      </c>
      <c r="Z111" s="2">
        <v>52.459014892578125</v>
      </c>
      <c r="AA111" s="2">
        <v>50.475421905517578</v>
      </c>
      <c r="AB111" s="2">
        <v>81.854835510253906</v>
      </c>
      <c r="AC111" s="46" t="str">
        <f t="shared" si="38"/>
        <v>NRA*</v>
      </c>
      <c r="AD111" s="2">
        <v>27.374301910400391</v>
      </c>
      <c r="AE111" s="2">
        <v>28.314540863037109</v>
      </c>
      <c r="AF111" s="2"/>
      <c r="AG111" s="4">
        <f t="shared" si="39"/>
        <v>358</v>
      </c>
      <c r="AH111" s="4" t="str" cm="1">
        <f t="array" ref="AH111">IF(AG111="NR**","NR**",INDEX(trust_indicator_data!$A$2:$BE$127,(ROW()-ROW(trust_indicator_data!$A$1:$BE$1)),MATCH(selected_indic_name_adj,trust_indicator_data!$A$1:$BE$1,0)))</f>
        <v>NRA*</v>
      </c>
      <c r="AI111" s="4" t="str">
        <f>IF(AG111="NR**","NR**",IF(AH111="NRA*","NRA*",RANK(AH111,AH:AH,1)+COUNTIF($AH$2:AH111,AH111)-1))</f>
        <v>NRA*</v>
      </c>
      <c r="AJ111" s="4" cm="1">
        <f t="array" ref="AJ111">IF(AG111="NR**","NR**",INDEX(trust_indicator_data!$A$2:$BE$127,(ROW()-ROW(trust_indicator_data!$A$1:$BE$1)),MATCH(selected_indic_name_unadj,trust_indicator_data!$A$1:$BE$1,0)))</f>
        <v>43.768115997314453</v>
      </c>
      <c r="AK111" s="4">
        <f>IF(AG111="NR**","NR**",RANK(trust_indicator_data!AJ111,AJ:AJ,1)+COUNTIF($AJ$2:AJ111,AJ111)-1)</f>
        <v>32</v>
      </c>
      <c r="AM111" s="4" cm="1">
        <f t="array" ref="AM111">IF(AQ111&lt;10,0,INDEX(trust_indicator_data!$A$2:$BE$127,(ROW()-ROW(trust_indicator_data!$A$1:$BE$1)),MATCH(selected_indic_name_unadj,trust_indicator_data!$A$1:$BE$1,0)))</f>
        <v>43.768115997314453</v>
      </c>
      <c r="AN111" s="4">
        <f t="shared" si="40"/>
        <v>32</v>
      </c>
      <c r="AP111" s="4">
        <f>RANK(trust_indicator_data!$AQ111,AQ:AQ,1)+COUNTIF($AQ$2:AQ111,AQ111)-1</f>
        <v>99</v>
      </c>
      <c r="AQ111" s="4" cm="1">
        <f t="array" ref="AQ111">INDEX(trust_indicator_data!$A$2:$BE$127,(ROW()-ROW(trust_indicator_data!$A$1:$BE$1)),MATCH(selected_indic_denom,trust_indicator_data!$A$1:$BE$1,0))</f>
        <v>358</v>
      </c>
      <c r="AR111" s="4" cm="1">
        <f t="array" ref="AR111">INDEX(trust_indicator_data!$A$2:$BE$127,(ROW()-ROW(trust_indicator_data!$A$1:$BE$1)),MATCH(selected_indic_name_unadj,trust_indicator_data!$A$1:$BE$1,0))/100</f>
        <v>0.43768115997314455</v>
      </c>
      <c r="AS111" s="4">
        <f>IF(AQ111&lt;10,NA(),trust_indicator_data!$AR111)</f>
        <v>0.43768115997314455</v>
      </c>
      <c r="AU111" s="4">
        <f>INDEX(table_national_indic,MATCH($AU$1,national_indicator_data!$A$1:$A$17,0),MATCH(selected_indic_name_unadj,national_indicator_data!$A$1:$R$1,0))</f>
        <v>0.47675243377685544</v>
      </c>
      <c r="AV111" s="4">
        <f>INDEX(table_national_indic,MATCH($AV$1,national_indicator_data!$A$1:$A$7,0),MATCH(selected_indic_name_unadj,national_indicator_data!$A$1:$R$1,0))</f>
        <v>0.76214221292766271</v>
      </c>
      <c r="AW111" s="4">
        <f t="shared" si="51"/>
        <v>0.70929057066949375</v>
      </c>
      <c r="AX111" s="4">
        <f t="shared" si="52"/>
        <v>0.81499385518583167</v>
      </c>
      <c r="AY111" s="4">
        <f t="shared" si="53"/>
        <v>0.68286474954040921</v>
      </c>
      <c r="AZ111" s="4">
        <f t="shared" si="54"/>
        <v>0.84141967631491621</v>
      </c>
      <c r="BA111" s="4">
        <f>INDEX(table_national_indic,MATCH($BA$1,national_indicator_data!$A$1:$A$7,0),MATCH(selected_indic_name_unadj,national_indicator_data!$A$1:$R$1,0))</f>
        <v>0</v>
      </c>
      <c r="BB111" s="4">
        <f t="shared" si="55"/>
        <v>0.42418596232822492</v>
      </c>
      <c r="BC111" s="4">
        <f t="shared" si="41"/>
        <v>0.52957841280654372</v>
      </c>
      <c r="BD111" s="4">
        <f t="shared" si="42"/>
        <v>0.39818370607114595</v>
      </c>
      <c r="BE111" s="4">
        <f t="shared" si="43"/>
        <v>0.55590437415334648</v>
      </c>
      <c r="BG111">
        <f t="shared" si="57"/>
        <v>110</v>
      </c>
      <c r="BH111">
        <f t="shared" si="56"/>
        <v>422</v>
      </c>
      <c r="BI111" s="42">
        <f t="shared" si="45"/>
        <v>0.5568181991577148</v>
      </c>
      <c r="BJ111" s="42">
        <f t="shared" si="46"/>
        <v>0.42831271511805574</v>
      </c>
      <c r="BK111" s="42">
        <f t="shared" si="47"/>
        <v>0.52541233451165092</v>
      </c>
      <c r="BL111" s="42">
        <f t="shared" si="48"/>
        <v>0.4043189939376704</v>
      </c>
      <c r="BM111" s="42">
        <f t="shared" si="49"/>
        <v>0.54968079425437</v>
      </c>
      <c r="BN111" s="42">
        <f t="shared" si="50"/>
        <v>0.47675243377685544</v>
      </c>
    </row>
    <row r="112" spans="1:66" x14ac:dyDescent="0.25">
      <c r="A112" t="s">
        <v>85</v>
      </c>
      <c r="B112" t="s">
        <v>84</v>
      </c>
      <c r="C112" t="s">
        <v>69</v>
      </c>
      <c r="D112" t="s">
        <v>67</v>
      </c>
      <c r="E112" s="2">
        <v>336</v>
      </c>
      <c r="F112" s="2">
        <v>309</v>
      </c>
      <c r="G112" s="2">
        <v>24</v>
      </c>
      <c r="H112" s="2">
        <v>47</v>
      </c>
      <c r="I112" s="2">
        <v>53</v>
      </c>
      <c r="J112" s="2">
        <v>47</v>
      </c>
      <c r="K112" s="2">
        <v>27</v>
      </c>
      <c r="L112" s="2">
        <v>47.666667938232422</v>
      </c>
      <c r="M112" s="46" t="str">
        <f t="shared" si="35"/>
        <v>NRA*</v>
      </c>
      <c r="N112" s="2">
        <v>58.515285491943359</v>
      </c>
      <c r="O112" s="46" t="str">
        <f t="shared" si="36"/>
        <v>NRA*</v>
      </c>
      <c r="P112" s="2">
        <v>80.851066589355469</v>
      </c>
      <c r="Q112" s="46" t="str">
        <f t="shared" si="37"/>
        <v>NRA*</v>
      </c>
      <c r="R112" s="2">
        <v>14.239481925964355</v>
      </c>
      <c r="S112" s="2">
        <v>16.605833053588867</v>
      </c>
      <c r="T112" s="2">
        <v>62.5</v>
      </c>
      <c r="U112" s="4">
        <v>59.481838226318359</v>
      </c>
      <c r="V112" s="2">
        <v>83.018867492675781</v>
      </c>
      <c r="W112" s="2">
        <v>82.930801391601563</v>
      </c>
      <c r="X112" s="2">
        <v>55.555557250976563</v>
      </c>
      <c r="Y112" s="2">
        <v>57.090991973876953</v>
      </c>
      <c r="Z112" s="2">
        <v>46.808509826660156</v>
      </c>
      <c r="AA112" s="2">
        <v>50.040283203125</v>
      </c>
      <c r="AB112" s="2">
        <v>93.975906372070313</v>
      </c>
      <c r="AC112" s="46" t="str">
        <f t="shared" si="38"/>
        <v>NRA*</v>
      </c>
      <c r="AD112" s="2">
        <v>38.181819915771484</v>
      </c>
      <c r="AE112" s="2">
        <v>38.126136779785156</v>
      </c>
      <c r="AF112" s="2"/>
      <c r="AG112" s="34">
        <f t="shared" si="39"/>
        <v>336</v>
      </c>
      <c r="AH112" s="34" t="str" cm="1">
        <f t="array" ref="AH112">IF(AG112="NR**","NR**",INDEX(trust_indicator_data!$A$2:$BE$127,(ROW()-ROW(trust_indicator_data!$A$1:$BE$1)),MATCH(selected_indic_name_adj,trust_indicator_data!$A$1:$BE$1,0)))</f>
        <v>NRA*</v>
      </c>
      <c r="AI112" s="34" t="str">
        <f>IF(AG112="NR**","NR**",IF(AH112="NRA*","NRA*",RANK(AH112,AH:AH,1)+COUNTIF($AH$2:AH112,AH112)-1))</f>
        <v>NRA*</v>
      </c>
      <c r="AJ112" s="34" cm="1">
        <f t="array" ref="AJ112">IF(AG112="NR**","NR**",INDEX(trust_indicator_data!$A$2:$BE$127,(ROW()-ROW(trust_indicator_data!$A$1:$BE$1)),MATCH(selected_indic_name_unadj,trust_indicator_data!$A$1:$BE$1,0)))</f>
        <v>47.666667938232422</v>
      </c>
      <c r="AK112" s="34">
        <f>IF(AG112="NR**","NR**",RANK(trust_indicator_data!AJ112,AJ:AJ,1)+COUNTIF($AJ$2:AJ112,AJ112)-1)</f>
        <v>52</v>
      </c>
      <c r="AM112" s="34" cm="1">
        <f t="array" ref="AM112">IF(AQ112&lt;10,0,INDEX(trust_indicator_data!$A$2:$BE$127,(ROW()-ROW(trust_indicator_data!$A$1:$BE$1)),MATCH(selected_indic_name_unadj,trust_indicator_data!$A$1:$BE$1,0)))</f>
        <v>47.666667938232422</v>
      </c>
      <c r="AN112" s="34">
        <f t="shared" si="40"/>
        <v>52</v>
      </c>
      <c r="AP112" s="34">
        <f>RANK(trust_indicator_data!$AQ112,AQ:AQ,1)+COUNTIF($AQ$2:AQ112,AQ112)-1</f>
        <v>90</v>
      </c>
      <c r="AQ112" s="34" cm="1">
        <f t="array" ref="AQ112">INDEX(trust_indicator_data!$A$2:$BE$127,(ROW()-ROW(trust_indicator_data!$A$1:$BE$1)),MATCH(selected_indic_denom,trust_indicator_data!$A$1:$BE$1,0))</f>
        <v>336</v>
      </c>
      <c r="AR112" s="34" cm="1">
        <f t="array" ref="AR112">INDEX(trust_indicator_data!$A$2:$BE$127,(ROW()-ROW(trust_indicator_data!$A$1:$BE$1)),MATCH(selected_indic_name_unadj,trust_indicator_data!$A$1:$BE$1,0))/100</f>
        <v>0.47666667938232421</v>
      </c>
      <c r="AS112" s="34">
        <f>IF(AQ112&lt;10,NA(),trust_indicator_data!$AR112)</f>
        <v>0.47666667938232421</v>
      </c>
      <c r="AU112" s="34">
        <f>INDEX(table_national_indic,MATCH($AU$1,national_indicator_data!$A$1:$A$17,0),MATCH(selected_indic_name_unadj,national_indicator_data!$A$1:$R$1,0))</f>
        <v>0.47675243377685544</v>
      </c>
      <c r="AV112" s="34">
        <f>INDEX(table_national_indic,MATCH($AV$1,national_indicator_data!$A$1:$A$7,0),MATCH(selected_indic_name_unadj,national_indicator_data!$A$1:$R$1,0))</f>
        <v>0.76214221292766271</v>
      </c>
      <c r="AW112" s="34">
        <f t="shared" si="51"/>
        <v>0.70758774036866456</v>
      </c>
      <c r="AX112" s="34">
        <f t="shared" si="52"/>
        <v>0.81669668548666086</v>
      </c>
      <c r="AY112" s="34">
        <f t="shared" si="53"/>
        <v>0.6803105040891656</v>
      </c>
      <c r="AZ112" s="34">
        <f t="shared" si="54"/>
        <v>0.84397392176615982</v>
      </c>
      <c r="BA112" s="34">
        <f>INDEX(table_national_indic,MATCH($BA$1,national_indicator_data!$A$1:$A$7,0),MATCH(selected_indic_name_unadj,national_indicator_data!$A$1:$R$1,0))</f>
        <v>0</v>
      </c>
      <c r="BB112" s="34">
        <f t="shared" si="55"/>
        <v>0.42250326371872027</v>
      </c>
      <c r="BC112" s="34">
        <f t="shared" si="41"/>
        <v>0.53127808612441285</v>
      </c>
      <c r="BD112" s="34">
        <f t="shared" si="42"/>
        <v>0.3956843181657636</v>
      </c>
      <c r="BE112" s="34">
        <f t="shared" si="43"/>
        <v>0.55844186333377244</v>
      </c>
      <c r="BG112">
        <f t="shared" si="57"/>
        <v>111</v>
      </c>
      <c r="BH112">
        <f t="shared" si="56"/>
        <v>432</v>
      </c>
      <c r="BI112" s="42">
        <f t="shared" si="45"/>
        <v>0.37027706146240236</v>
      </c>
      <c r="BJ112" s="42">
        <f t="shared" si="46"/>
        <v>0.42887362193622974</v>
      </c>
      <c r="BK112" s="42">
        <f t="shared" si="47"/>
        <v>0.52484633481953402</v>
      </c>
      <c r="BL112" s="42">
        <f t="shared" si="48"/>
        <v>0.40515349592872385</v>
      </c>
      <c r="BM112" s="42">
        <f t="shared" si="49"/>
        <v>0.5488348556642102</v>
      </c>
      <c r="BN112" s="42">
        <f t="shared" si="50"/>
        <v>0.47675243377685544</v>
      </c>
    </row>
    <row r="113" spans="1:66" x14ac:dyDescent="0.25">
      <c r="A113" t="s">
        <v>268</v>
      </c>
      <c r="B113" t="s">
        <v>267</v>
      </c>
      <c r="C113" t="s">
        <v>21</v>
      </c>
      <c r="D113" t="s">
        <v>19</v>
      </c>
      <c r="E113" s="2">
        <v>383</v>
      </c>
      <c r="F113" s="2">
        <v>343</v>
      </c>
      <c r="G113" s="2">
        <v>39</v>
      </c>
      <c r="H113" s="2">
        <v>42</v>
      </c>
      <c r="I113" s="2">
        <v>60</v>
      </c>
      <c r="J113" s="2">
        <v>92</v>
      </c>
      <c r="K113" s="2">
        <v>34</v>
      </c>
      <c r="L113" s="2">
        <v>54.447441101074219</v>
      </c>
      <c r="M113" s="46" t="str">
        <f t="shared" si="35"/>
        <v>NRA*</v>
      </c>
      <c r="N113" s="2">
        <v>50.543479919433594</v>
      </c>
      <c r="O113" s="46" t="str">
        <f t="shared" si="36"/>
        <v>NRA*</v>
      </c>
      <c r="P113" s="2">
        <v>66.666664123535156</v>
      </c>
      <c r="Q113" s="46" t="str">
        <f t="shared" si="37"/>
        <v>NRA*</v>
      </c>
      <c r="R113" s="2">
        <v>8.4548101425170898</v>
      </c>
      <c r="S113" s="2">
        <v>12.144432067871094</v>
      </c>
      <c r="T113" s="2">
        <v>76.923080444335938</v>
      </c>
      <c r="U113" s="4">
        <v>78.6605224609375</v>
      </c>
      <c r="V113" s="2">
        <v>55</v>
      </c>
      <c r="W113" s="2">
        <v>62.089370727539063</v>
      </c>
      <c r="X113" s="2">
        <v>58.823528289794922</v>
      </c>
      <c r="Y113" s="2">
        <v>58.065681457519531</v>
      </c>
      <c r="Z113" s="2">
        <v>58.695652008056641</v>
      </c>
      <c r="AA113" s="2">
        <v>59.941520690917969</v>
      </c>
      <c r="AB113" s="2">
        <v>97.265625</v>
      </c>
      <c r="AC113" s="46" t="str">
        <f t="shared" si="38"/>
        <v>NRA*</v>
      </c>
      <c r="AD113" s="2">
        <v>44.743934631347656</v>
      </c>
      <c r="AE113" s="2">
        <v>37.934089660644531</v>
      </c>
      <c r="AF113" s="2"/>
      <c r="AG113" s="4">
        <f t="shared" si="39"/>
        <v>383</v>
      </c>
      <c r="AH113" s="4" t="str" cm="1">
        <f t="array" ref="AH113">IF(AG113="NR**","NR**",INDEX(trust_indicator_data!$A$2:$BE$127,(ROW()-ROW(trust_indicator_data!$A$1:$BE$1)),MATCH(selected_indic_name_adj,trust_indicator_data!$A$1:$BE$1,0)))</f>
        <v>NRA*</v>
      </c>
      <c r="AI113" s="4" t="str">
        <f>IF(AG113="NR**","NR**",IF(AH113="NRA*","NRA*",RANK(AH113,AH:AH,1)+COUNTIF($AH$2:AH113,AH113)-1))</f>
        <v>NRA*</v>
      </c>
      <c r="AJ113" s="4" cm="1">
        <f t="array" ref="AJ113">IF(AG113="NR**","NR**",INDEX(trust_indicator_data!$A$2:$BE$127,(ROW()-ROW(trust_indicator_data!$A$1:$BE$1)),MATCH(selected_indic_name_unadj,trust_indicator_data!$A$1:$BE$1,0)))</f>
        <v>54.447441101074219</v>
      </c>
      <c r="AK113" s="4">
        <f>IF(AG113="NR**","NR**",RANK(trust_indicator_data!AJ113,AJ:AJ,1)+COUNTIF($AJ$2:AJ113,AJ113)-1)</f>
        <v>102</v>
      </c>
      <c r="AM113" s="4" cm="1">
        <f t="array" ref="AM113">IF(AQ113&lt;10,0,INDEX(trust_indicator_data!$A$2:$BE$127,(ROW()-ROW(trust_indicator_data!$A$1:$BE$1)),MATCH(selected_indic_name_unadj,trust_indicator_data!$A$1:$BE$1,0)))</f>
        <v>54.447441101074219</v>
      </c>
      <c r="AN113" s="4">
        <f t="shared" si="40"/>
        <v>102</v>
      </c>
      <c r="AP113" s="4">
        <f>RANK(trust_indicator_data!$AQ113,AQ:AQ,1)+COUNTIF($AQ$2:AQ113,AQ113)-1</f>
        <v>105</v>
      </c>
      <c r="AQ113" s="4" cm="1">
        <f t="array" ref="AQ113">INDEX(trust_indicator_data!$A$2:$BE$127,(ROW()-ROW(trust_indicator_data!$A$1:$BE$1)),MATCH(selected_indic_denom,trust_indicator_data!$A$1:$BE$1,0))</f>
        <v>383</v>
      </c>
      <c r="AR113" s="4" cm="1">
        <f t="array" ref="AR113">INDEX(trust_indicator_data!$A$2:$BE$127,(ROW()-ROW(trust_indicator_data!$A$1:$BE$1)),MATCH(selected_indic_name_unadj,trust_indicator_data!$A$1:$BE$1,0))/100</f>
        <v>0.54447441101074223</v>
      </c>
      <c r="AS113" s="4">
        <f>IF(AQ113&lt;10,NA(),trust_indicator_data!$AR113)</f>
        <v>0.54447441101074223</v>
      </c>
      <c r="AU113" s="4">
        <f>INDEX(table_national_indic,MATCH($AU$1,national_indicator_data!$A$1:$A$17,0),MATCH(selected_indic_name_unadj,national_indicator_data!$A$1:$R$1,0))</f>
        <v>0.47675243377685544</v>
      </c>
      <c r="AV113" s="4">
        <f>INDEX(table_national_indic,MATCH($AV$1,national_indicator_data!$A$1:$A$7,0),MATCH(selected_indic_name_unadj,national_indicator_data!$A$1:$R$1,0))</f>
        <v>0.76214221292766271</v>
      </c>
      <c r="AW113" s="4">
        <f t="shared" si="51"/>
        <v>0.71104459989690305</v>
      </c>
      <c r="AX113" s="4">
        <f t="shared" si="52"/>
        <v>0.81323982595842237</v>
      </c>
      <c r="AY113" s="4">
        <f t="shared" si="53"/>
        <v>0.68549579338152333</v>
      </c>
      <c r="AZ113" s="4">
        <f t="shared" si="54"/>
        <v>0.83878863247380209</v>
      </c>
      <c r="BA113" s="4">
        <f>INDEX(table_national_indic,MATCH($BA$1,national_indicator_data!$A$1:$A$7,0),MATCH(selected_indic_name_unadj,national_indicator_data!$A$1:$R$1,0))</f>
        <v>0</v>
      </c>
      <c r="BB113" s="4">
        <f t="shared" si="55"/>
        <v>0.42592017374673719</v>
      </c>
      <c r="BC113" s="4">
        <f t="shared" si="41"/>
        <v>0.52782727699649512</v>
      </c>
      <c r="BD113" s="4">
        <f t="shared" si="42"/>
        <v>0.40076102037988776</v>
      </c>
      <c r="BE113" s="4">
        <f t="shared" si="43"/>
        <v>0.55328906571483338</v>
      </c>
      <c r="BG113">
        <f t="shared" si="57"/>
        <v>112</v>
      </c>
      <c r="BH113">
        <f t="shared" si="56"/>
        <v>439</v>
      </c>
      <c r="BI113" s="42">
        <f t="shared" si="45"/>
        <v>0.50115474700927731</v>
      </c>
      <c r="BJ113" s="42">
        <f t="shared" si="46"/>
        <v>0.42925485284495873</v>
      </c>
      <c r="BK113" s="42">
        <f t="shared" si="47"/>
        <v>0.52446167684700207</v>
      </c>
      <c r="BL113" s="42">
        <f t="shared" si="48"/>
        <v>0.40572075992052831</v>
      </c>
      <c r="BM113" s="42">
        <f t="shared" si="49"/>
        <v>0.54825989553523646</v>
      </c>
      <c r="BN113" s="42">
        <f t="shared" si="50"/>
        <v>0.47675243377685544</v>
      </c>
    </row>
    <row r="114" spans="1:66" x14ac:dyDescent="0.25">
      <c r="A114" t="s">
        <v>294</v>
      </c>
      <c r="B114" t="s">
        <v>293</v>
      </c>
      <c r="C114" t="s">
        <v>21</v>
      </c>
      <c r="D114" t="s">
        <v>19</v>
      </c>
      <c r="E114" s="2">
        <v>603</v>
      </c>
      <c r="F114" s="2">
        <v>548</v>
      </c>
      <c r="G114" s="2">
        <v>46</v>
      </c>
      <c r="H114" s="2">
        <v>74</v>
      </c>
      <c r="I114" s="2">
        <v>83</v>
      </c>
      <c r="J114" s="2">
        <v>73</v>
      </c>
      <c r="K114" s="2">
        <v>39</v>
      </c>
      <c r="L114" s="2">
        <v>49.694499969482422</v>
      </c>
      <c r="M114" s="46" t="str">
        <f t="shared" si="35"/>
        <v>NRA*</v>
      </c>
      <c r="N114" s="2">
        <v>44.022769927978516</v>
      </c>
      <c r="O114" s="46" t="str">
        <f t="shared" si="36"/>
        <v>NRA*</v>
      </c>
      <c r="P114" s="2">
        <v>81.081077575683594</v>
      </c>
      <c r="Q114" s="46" t="str">
        <f t="shared" si="37"/>
        <v>NRA*</v>
      </c>
      <c r="R114" s="2">
        <v>20.255474090576172</v>
      </c>
      <c r="S114" s="2">
        <v>24.019828796386719</v>
      </c>
      <c r="T114" s="2">
        <v>80.434783935546875</v>
      </c>
      <c r="U114" s="4">
        <v>81.152801513671875</v>
      </c>
      <c r="V114" s="2">
        <v>81.927711486816406</v>
      </c>
      <c r="W114" s="2">
        <v>81.562767028808594</v>
      </c>
      <c r="X114" s="2">
        <v>46.153846740722656</v>
      </c>
      <c r="Y114" s="2">
        <v>46.328071594238281</v>
      </c>
      <c r="Z114" s="2">
        <v>63.013698577880859</v>
      </c>
      <c r="AA114" s="2">
        <v>62.162803649902344</v>
      </c>
      <c r="AB114" s="2">
        <v>79.581153869628906</v>
      </c>
      <c r="AC114" s="46" t="str">
        <f t="shared" si="38"/>
        <v>NRA*</v>
      </c>
      <c r="AD114" s="2">
        <v>33.445377349853516</v>
      </c>
      <c r="AE114" s="2">
        <v>30.100255966186523</v>
      </c>
      <c r="AF114" s="2"/>
      <c r="AG114" s="34">
        <f t="shared" si="39"/>
        <v>603</v>
      </c>
      <c r="AH114" s="34" t="str" cm="1">
        <f t="array" ref="AH114">IF(AG114="NR**","NR**",INDEX(trust_indicator_data!$A$2:$BE$127,(ROW()-ROW(trust_indicator_data!$A$1:$BE$1)),MATCH(selected_indic_name_adj,trust_indicator_data!$A$1:$BE$1,0)))</f>
        <v>NRA*</v>
      </c>
      <c r="AI114" s="34" t="str">
        <f>IF(AG114="NR**","NR**",IF(AH114="NRA*","NRA*",RANK(AH114,AH:AH,1)+COUNTIF($AH$2:AH114,AH114)-1))</f>
        <v>NRA*</v>
      </c>
      <c r="AJ114" s="34" cm="1">
        <f t="array" ref="AJ114">IF(AG114="NR**","NR**",INDEX(trust_indicator_data!$A$2:$BE$127,(ROW()-ROW(trust_indicator_data!$A$1:$BE$1)),MATCH(selected_indic_name_unadj,trust_indicator_data!$A$1:$BE$1,0)))</f>
        <v>49.694499969482422</v>
      </c>
      <c r="AK114" s="34">
        <f>IF(AG114="NR**","NR**",RANK(trust_indicator_data!AJ114,AJ:AJ,1)+COUNTIF($AJ$2:AJ114,AJ114)-1)</f>
        <v>67</v>
      </c>
      <c r="AM114" s="34" cm="1">
        <f t="array" ref="AM114">IF(AQ114&lt;10,0,INDEX(trust_indicator_data!$A$2:$BE$127,(ROW()-ROW(trust_indicator_data!$A$1:$BE$1)),MATCH(selected_indic_name_unadj,trust_indicator_data!$A$1:$BE$1,0)))</f>
        <v>49.694499969482422</v>
      </c>
      <c r="AN114" s="34">
        <f t="shared" si="40"/>
        <v>67</v>
      </c>
      <c r="AP114" s="34">
        <f>RANK(trust_indicator_data!$AQ114,AQ:AQ,1)+COUNTIF($AQ$2:AQ114,AQ114)-1</f>
        <v>122</v>
      </c>
      <c r="AQ114" s="34" cm="1">
        <f t="array" ref="AQ114">INDEX(trust_indicator_data!$A$2:$BE$127,(ROW()-ROW(trust_indicator_data!$A$1:$BE$1)),MATCH(selected_indic_denom,trust_indicator_data!$A$1:$BE$1,0))</f>
        <v>603</v>
      </c>
      <c r="AR114" s="34" cm="1">
        <f t="array" ref="AR114">INDEX(trust_indicator_data!$A$2:$BE$127,(ROW()-ROW(trust_indicator_data!$A$1:$BE$1)),MATCH(selected_indic_name_unadj,trust_indicator_data!$A$1:$BE$1,0))/100</f>
        <v>0.4969449996948242</v>
      </c>
      <c r="AS114" s="34">
        <f>IF(AQ114&lt;10,NA(),trust_indicator_data!$AR114)</f>
        <v>0.4969449996948242</v>
      </c>
      <c r="AU114" s="34">
        <f>INDEX(table_national_indic,MATCH($AU$1,national_indicator_data!$A$1:$A$17,0),MATCH(selected_indic_name_unadj,national_indicator_data!$A$1:$R$1,0))</f>
        <v>0.47675243377685544</v>
      </c>
      <c r="AV114" s="34">
        <f>INDEX(table_national_indic,MATCH($AV$1,national_indicator_data!$A$1:$A$7,0),MATCH(selected_indic_name_unadj,national_indicator_data!$A$1:$R$1,0))</f>
        <v>0.76214221292766271</v>
      </c>
      <c r="AW114" s="34">
        <f t="shared" si="51"/>
        <v>0.72141906480889428</v>
      </c>
      <c r="AX114" s="34">
        <f t="shared" si="52"/>
        <v>0.80286536104643114</v>
      </c>
      <c r="AY114" s="34">
        <f t="shared" si="53"/>
        <v>0.70105749074951007</v>
      </c>
      <c r="AZ114" s="34">
        <f t="shared" si="54"/>
        <v>0.82322693510581535</v>
      </c>
      <c r="BA114" s="34">
        <f>INDEX(table_national_indic,MATCH($BA$1,national_indicator_data!$A$1:$A$7,0),MATCH(selected_indic_name_unadj,national_indicator_data!$A$1:$R$1,0))</f>
        <v>0</v>
      </c>
      <c r="BB114" s="34">
        <f t="shared" si="55"/>
        <v>0.43619535003342036</v>
      </c>
      <c r="BC114" s="34">
        <f t="shared" si="41"/>
        <v>0.51746364500291142</v>
      </c>
      <c r="BD114" s="34">
        <f t="shared" si="42"/>
        <v>0.41605872181845766</v>
      </c>
      <c r="BE114" s="34">
        <f t="shared" si="43"/>
        <v>0.53779269298482713</v>
      </c>
      <c r="BG114">
        <f t="shared" si="57"/>
        <v>113</v>
      </c>
      <c r="BH114">
        <f t="shared" si="56"/>
        <v>443</v>
      </c>
      <c r="BI114" s="42">
        <f t="shared" si="45"/>
        <v>0.43735225677490236</v>
      </c>
      <c r="BJ114" s="42">
        <f t="shared" si="46"/>
        <v>0.42946864895654246</v>
      </c>
      <c r="BK114" s="42">
        <f t="shared" si="47"/>
        <v>0.52424597100314385</v>
      </c>
      <c r="BL114" s="42">
        <f t="shared" si="48"/>
        <v>0.40603891204293407</v>
      </c>
      <c r="BM114" s="42">
        <f t="shared" si="49"/>
        <v>0.54793745463529808</v>
      </c>
      <c r="BN114" s="42">
        <f t="shared" si="50"/>
        <v>0.47675243377685544</v>
      </c>
    </row>
    <row r="115" spans="1:66" x14ac:dyDescent="0.25">
      <c r="A115" t="s">
        <v>278</v>
      </c>
      <c r="B115" t="s">
        <v>277</v>
      </c>
      <c r="C115" t="s">
        <v>39</v>
      </c>
      <c r="D115" t="s">
        <v>37</v>
      </c>
      <c r="E115" s="2">
        <v>242</v>
      </c>
      <c r="F115" s="2">
        <v>212</v>
      </c>
      <c r="G115" s="2">
        <v>26</v>
      </c>
      <c r="H115" s="2">
        <v>38</v>
      </c>
      <c r="I115" s="2">
        <v>44</v>
      </c>
      <c r="J115" s="2">
        <v>55</v>
      </c>
      <c r="K115" s="2">
        <v>20</v>
      </c>
      <c r="L115" s="2">
        <v>54.424777984619141</v>
      </c>
      <c r="M115" s="46" t="str">
        <f t="shared" si="35"/>
        <v>NRA*</v>
      </c>
      <c r="N115" s="2">
        <v>56.118144989013672</v>
      </c>
      <c r="O115" s="46" t="str">
        <f t="shared" si="36"/>
        <v>NRA*</v>
      </c>
      <c r="P115" s="2">
        <v>84.210525512695313</v>
      </c>
      <c r="Q115" s="46" t="str">
        <f t="shared" si="37"/>
        <v>NRA*</v>
      </c>
      <c r="R115" s="2">
        <v>13.207547187805176</v>
      </c>
      <c r="S115" s="2">
        <v>13.842114448547363</v>
      </c>
      <c r="T115" s="2">
        <v>76.923080444335938</v>
      </c>
      <c r="U115" s="4">
        <v>71.096588134765625</v>
      </c>
      <c r="V115" s="2">
        <v>68.181816101074219</v>
      </c>
      <c r="W115" s="2">
        <v>66.273200988769531</v>
      </c>
      <c r="X115" s="2">
        <v>30</v>
      </c>
      <c r="Y115" s="2">
        <v>30.582597732543945</v>
      </c>
      <c r="Z115" s="2">
        <v>69.090911865234375</v>
      </c>
      <c r="AA115" s="2">
        <v>71.573936462402344</v>
      </c>
      <c r="AB115" s="2">
        <v>97.660820007324219</v>
      </c>
      <c r="AC115" s="46" t="str">
        <f t="shared" si="38"/>
        <v>NRA*</v>
      </c>
      <c r="AD115" s="2">
        <v>36.134452819824219</v>
      </c>
      <c r="AE115" s="2">
        <v>36.974445343017578</v>
      </c>
      <c r="AF115" s="2"/>
      <c r="AG115" s="4">
        <f t="shared" si="39"/>
        <v>242</v>
      </c>
      <c r="AH115" s="4" t="str" cm="1">
        <f t="array" ref="AH115">IF(AG115="NR**","NR**",INDEX(trust_indicator_data!$A$2:$BE$127,(ROW()-ROW(trust_indicator_data!$A$1:$BE$1)),MATCH(selected_indic_name_adj,trust_indicator_data!$A$1:$BE$1,0)))</f>
        <v>NRA*</v>
      </c>
      <c r="AI115" s="4" t="str">
        <f>IF(AG115="NR**","NR**",IF(AH115="NRA*","NRA*",RANK(AH115,AH:AH,1)+COUNTIF($AH$2:AH115,AH115)-1))</f>
        <v>NRA*</v>
      </c>
      <c r="AJ115" s="4" cm="1">
        <f t="array" ref="AJ115">IF(AG115="NR**","NR**",INDEX(trust_indicator_data!$A$2:$BE$127,(ROW()-ROW(trust_indicator_data!$A$1:$BE$1)),MATCH(selected_indic_name_unadj,trust_indicator_data!$A$1:$BE$1,0)))</f>
        <v>54.424777984619141</v>
      </c>
      <c r="AK115" s="4">
        <f>IF(AG115="NR**","NR**",RANK(trust_indicator_data!AJ115,AJ:AJ,1)+COUNTIF($AJ$2:AJ115,AJ115)-1)</f>
        <v>101</v>
      </c>
      <c r="AM115" s="4" cm="1">
        <f t="array" ref="AM115">IF(AQ115&lt;10,0,INDEX(trust_indicator_data!$A$2:$BE$127,(ROW()-ROW(trust_indicator_data!$A$1:$BE$1)),MATCH(selected_indic_name_unadj,trust_indicator_data!$A$1:$BE$1,0)))</f>
        <v>54.424777984619141</v>
      </c>
      <c r="AN115" s="4">
        <f t="shared" si="40"/>
        <v>101</v>
      </c>
      <c r="AP115" s="4">
        <f>RANK(trust_indicator_data!$AQ115,AQ:AQ,1)+COUNTIF($AQ$2:AQ115,AQ115)-1</f>
        <v>66</v>
      </c>
      <c r="AQ115" s="4" cm="1">
        <f t="array" ref="AQ115">INDEX(trust_indicator_data!$A$2:$BE$127,(ROW()-ROW(trust_indicator_data!$A$1:$BE$1)),MATCH(selected_indic_denom,trust_indicator_data!$A$1:$BE$1,0))</f>
        <v>242</v>
      </c>
      <c r="AR115" s="4" cm="1">
        <f t="array" ref="AR115">INDEX(trust_indicator_data!$A$2:$BE$127,(ROW()-ROW(trust_indicator_data!$A$1:$BE$1)),MATCH(selected_indic_name_unadj,trust_indicator_data!$A$1:$BE$1,0))/100</f>
        <v>0.54424777984619144</v>
      </c>
      <c r="AS115" s="4">
        <f>IF(AQ115&lt;10,NA(),trust_indicator_data!$AR115)</f>
        <v>0.54424777984619144</v>
      </c>
      <c r="AU115" s="4">
        <f>INDEX(table_national_indic,MATCH($AU$1,national_indicator_data!$A$1:$A$17,0),MATCH(selected_indic_name_unadj,national_indicator_data!$A$1:$R$1,0))</f>
        <v>0.47675243377685544</v>
      </c>
      <c r="AV115" s="4">
        <f>INDEX(table_national_indic,MATCH($AV$1,national_indicator_data!$A$1:$A$7,0),MATCH(selected_indic_name_unadj,national_indicator_data!$A$1:$R$1,0))</f>
        <v>0.76214221292766271</v>
      </c>
      <c r="AW115" s="4">
        <f t="shared" si="51"/>
        <v>0.6978597782743402</v>
      </c>
      <c r="AX115" s="4">
        <f t="shared" si="52"/>
        <v>0.82642464758098522</v>
      </c>
      <c r="AY115" s="4">
        <f t="shared" si="53"/>
        <v>0.66571856094767901</v>
      </c>
      <c r="AZ115" s="4">
        <f t="shared" si="54"/>
        <v>0.85856586490764641</v>
      </c>
      <c r="BA115" s="4">
        <f>INDEX(table_national_indic,MATCH($BA$1,national_indicator_data!$A$1:$A$7,0),MATCH(selected_indic_name_unadj,national_indicator_data!$A$1:$R$1,0))</f>
        <v>0</v>
      </c>
      <c r="BB115" s="4">
        <f t="shared" si="55"/>
        <v>0.41290813261034948</v>
      </c>
      <c r="BC115" s="4">
        <f t="shared" si="41"/>
        <v>0.54098046324781623</v>
      </c>
      <c r="BD115" s="4">
        <f t="shared" si="42"/>
        <v>0.38145992547398777</v>
      </c>
      <c r="BE115" s="4">
        <f t="shared" si="43"/>
        <v>0.57290684482822241</v>
      </c>
      <c r="BG115">
        <f t="shared" si="57"/>
        <v>114</v>
      </c>
      <c r="BH115">
        <f t="shared" si="56"/>
        <v>457</v>
      </c>
      <c r="BI115" s="42">
        <f t="shared" si="45"/>
        <v>0.31447963714599608</v>
      </c>
      <c r="BJ115" s="42">
        <f t="shared" si="46"/>
        <v>0.43019479783214509</v>
      </c>
      <c r="BK115" s="42">
        <f t="shared" si="47"/>
        <v>0.52351340113968625</v>
      </c>
      <c r="BL115" s="42">
        <f t="shared" si="48"/>
        <v>0.40711964921484201</v>
      </c>
      <c r="BM115" s="42">
        <f t="shared" si="49"/>
        <v>0.54684229700230125</v>
      </c>
      <c r="BN115" s="42">
        <f t="shared" si="50"/>
        <v>0.47675243377685544</v>
      </c>
    </row>
    <row r="116" spans="1:66" x14ac:dyDescent="0.25">
      <c r="A116" t="s">
        <v>192</v>
      </c>
      <c r="B116" t="s">
        <v>191</v>
      </c>
      <c r="C116" t="s">
        <v>74</v>
      </c>
      <c r="D116" t="s">
        <v>72</v>
      </c>
      <c r="E116" s="2">
        <v>508</v>
      </c>
      <c r="F116" s="2">
        <v>452</v>
      </c>
      <c r="G116" s="2">
        <v>43</v>
      </c>
      <c r="H116" s="2">
        <v>121</v>
      </c>
      <c r="I116" s="2">
        <v>146</v>
      </c>
      <c r="J116" s="2">
        <v>99</v>
      </c>
      <c r="K116" s="2">
        <v>38</v>
      </c>
      <c r="L116" s="2">
        <v>42.323650360107422</v>
      </c>
      <c r="M116" s="46" t="str">
        <f t="shared" si="35"/>
        <v>NRA*</v>
      </c>
      <c r="N116" s="2">
        <v>57.473682403564453</v>
      </c>
      <c r="O116" s="46" t="str">
        <f t="shared" si="36"/>
        <v>NRA*</v>
      </c>
      <c r="P116" s="2">
        <v>82.644630432128906</v>
      </c>
      <c r="Q116" s="46" t="str">
        <f t="shared" si="37"/>
        <v>NRA*</v>
      </c>
      <c r="R116" s="2">
        <v>23.00885009765625</v>
      </c>
      <c r="S116" s="2">
        <v>19.064945220947266</v>
      </c>
      <c r="T116" s="2">
        <v>65.116279602050781</v>
      </c>
      <c r="U116" s="4">
        <v>60.696849822998047</v>
      </c>
      <c r="V116" s="2">
        <v>80.821914672851563</v>
      </c>
      <c r="W116" s="2">
        <v>81.864219665527344</v>
      </c>
      <c r="X116" s="2">
        <v>60.526317596435547</v>
      </c>
      <c r="Y116" s="2">
        <v>55.836345672607422</v>
      </c>
      <c r="Z116" s="2">
        <v>49.494949340820313</v>
      </c>
      <c r="AA116" s="2">
        <v>51.558479309082031</v>
      </c>
      <c r="AB116" s="2">
        <v>94.892471313476563</v>
      </c>
      <c r="AC116" s="46" t="str">
        <f t="shared" si="38"/>
        <v>NRA*</v>
      </c>
      <c r="AD116" s="2">
        <v>37.777778625488281</v>
      </c>
      <c r="AE116" s="2">
        <v>38.426403045654297</v>
      </c>
      <c r="AF116" s="2"/>
      <c r="AG116" s="34">
        <f t="shared" si="39"/>
        <v>508</v>
      </c>
      <c r="AH116" s="34" t="str" cm="1">
        <f t="array" ref="AH116">IF(AG116="NR**","NR**",INDEX(trust_indicator_data!$A$2:$BE$127,(ROW()-ROW(trust_indicator_data!$A$1:$BE$1)),MATCH(selected_indic_name_adj,trust_indicator_data!$A$1:$BE$1,0)))</f>
        <v>NRA*</v>
      </c>
      <c r="AI116" s="34" t="str">
        <f>IF(AG116="NR**","NR**",IF(AH116="NRA*","NRA*",RANK(AH116,AH:AH,1)+COUNTIF($AH$2:AH116,AH116)-1))</f>
        <v>NRA*</v>
      </c>
      <c r="AJ116" s="34" cm="1">
        <f t="array" ref="AJ116">IF(AG116="NR**","NR**",INDEX(trust_indicator_data!$A$2:$BE$127,(ROW()-ROW(trust_indicator_data!$A$1:$BE$1)),MATCH(selected_indic_name_unadj,trust_indicator_data!$A$1:$BE$1,0)))</f>
        <v>42.323650360107422</v>
      </c>
      <c r="AK116" s="34">
        <f>IF(AG116="NR**","NR**",RANK(trust_indicator_data!AJ116,AJ:AJ,1)+COUNTIF($AJ$2:AJ116,AJ116)-1)</f>
        <v>24</v>
      </c>
      <c r="AM116" s="34" cm="1">
        <f t="array" ref="AM116">IF(AQ116&lt;10,0,INDEX(trust_indicator_data!$A$2:$BE$127,(ROW()-ROW(trust_indicator_data!$A$1:$BE$1)),MATCH(selected_indic_name_unadj,trust_indicator_data!$A$1:$BE$1,0)))</f>
        <v>42.323650360107422</v>
      </c>
      <c r="AN116" s="34">
        <f t="shared" si="40"/>
        <v>24</v>
      </c>
      <c r="AP116" s="34">
        <f>RANK(trust_indicator_data!$AQ116,AQ:AQ,1)+COUNTIF($AQ$2:AQ116,AQ116)-1</f>
        <v>118</v>
      </c>
      <c r="AQ116" s="34" cm="1">
        <f t="array" ref="AQ116">INDEX(trust_indicator_data!$A$2:$BE$127,(ROW()-ROW(trust_indicator_data!$A$1:$BE$1)),MATCH(selected_indic_denom,trust_indicator_data!$A$1:$BE$1,0))</f>
        <v>508</v>
      </c>
      <c r="AR116" s="34" cm="1">
        <f t="array" ref="AR116">INDEX(trust_indicator_data!$A$2:$BE$127,(ROW()-ROW(trust_indicator_data!$A$1:$BE$1)),MATCH(selected_indic_name_unadj,trust_indicator_data!$A$1:$BE$1,0))/100</f>
        <v>0.42323650360107423</v>
      </c>
      <c r="AS116" s="34">
        <f>IF(AQ116&lt;10,NA(),trust_indicator_data!$AR116)</f>
        <v>0.42323650360107423</v>
      </c>
      <c r="AU116" s="34">
        <f>INDEX(table_national_indic,MATCH($AU$1,national_indicator_data!$A$1:$A$17,0),MATCH(selected_indic_name_unadj,national_indicator_data!$A$1:$R$1,0))</f>
        <v>0.47675243377685544</v>
      </c>
      <c r="AV116" s="34">
        <f>INDEX(table_national_indic,MATCH($AV$1,national_indicator_data!$A$1:$A$7,0),MATCH(selected_indic_name_unadj,national_indicator_data!$A$1:$R$1,0))</f>
        <v>0.76214221292766271</v>
      </c>
      <c r="AW116" s="34">
        <f t="shared" si="51"/>
        <v>0.71777438745685707</v>
      </c>
      <c r="AX116" s="34">
        <f t="shared" si="52"/>
        <v>0.80651003839846835</v>
      </c>
      <c r="AY116" s="34">
        <f t="shared" si="53"/>
        <v>0.69559047472145419</v>
      </c>
      <c r="AZ116" s="34">
        <f t="shared" si="54"/>
        <v>0.82869395113387123</v>
      </c>
      <c r="BA116" s="34">
        <f>INDEX(table_national_indic,MATCH($BA$1,national_indicator_data!$A$1:$A$7,0),MATCH(selected_indic_name_unadj,national_indicator_data!$A$1:$R$1,0))</f>
        <v>0</v>
      </c>
      <c r="BB116" s="34">
        <f t="shared" si="55"/>
        <v>0.43258219681526427</v>
      </c>
      <c r="BC116" s="34">
        <f t="shared" si="41"/>
        <v>0.52110560235984649</v>
      </c>
      <c r="BD116" s="34">
        <f t="shared" si="42"/>
        <v>0.41067442418676403</v>
      </c>
      <c r="BE116" s="34">
        <f t="shared" si="43"/>
        <v>0.54324170198628463</v>
      </c>
      <c r="BG116">
        <f t="shared" si="57"/>
        <v>115</v>
      </c>
      <c r="BH116">
        <f t="shared" si="56"/>
        <v>464</v>
      </c>
      <c r="BI116" s="42">
        <f t="shared" si="45"/>
        <v>0.37469585418701173</v>
      </c>
      <c r="BJ116" s="42">
        <f t="shared" si="46"/>
        <v>0.43054553896594339</v>
      </c>
      <c r="BK116" s="42">
        <f t="shared" si="47"/>
        <v>0.52315959471004048</v>
      </c>
      <c r="BL116" s="42">
        <f t="shared" si="48"/>
        <v>0.40764174312186113</v>
      </c>
      <c r="BM116" s="42">
        <f t="shared" si="49"/>
        <v>0.54631331866164623</v>
      </c>
      <c r="BN116" s="42">
        <f t="shared" si="50"/>
        <v>0.47675243377685544</v>
      </c>
    </row>
    <row r="117" spans="1:66" x14ac:dyDescent="0.25">
      <c r="A117" t="s">
        <v>116</v>
      </c>
      <c r="B117" t="s">
        <v>115</v>
      </c>
      <c r="C117" t="s">
        <v>74</v>
      </c>
      <c r="D117" t="s">
        <v>72</v>
      </c>
      <c r="E117" s="2">
        <v>140</v>
      </c>
      <c r="F117" s="2">
        <v>127</v>
      </c>
      <c r="G117" s="2">
        <v>11</v>
      </c>
      <c r="H117" s="2">
        <v>10</v>
      </c>
      <c r="I117" s="2">
        <v>12</v>
      </c>
      <c r="J117" s="2">
        <v>28</v>
      </c>
      <c r="K117" s="2">
        <v>11</v>
      </c>
      <c r="L117" s="2">
        <v>58.400001525878906</v>
      </c>
      <c r="M117" s="46" t="str">
        <f t="shared" si="35"/>
        <v>NRA*</v>
      </c>
      <c r="N117" s="2">
        <v>50</v>
      </c>
      <c r="O117" s="46" t="str">
        <f t="shared" si="36"/>
        <v>NRA*</v>
      </c>
      <c r="P117" s="2">
        <v>60</v>
      </c>
      <c r="Q117" s="46" t="str">
        <f t="shared" si="37"/>
        <v>NRA*</v>
      </c>
      <c r="R117" s="2">
        <v>4.7244095802307129</v>
      </c>
      <c r="S117" s="2">
        <v>8.5918588638305664</v>
      </c>
      <c r="T117" s="2">
        <v>45.454544067382813</v>
      </c>
      <c r="U117" s="4">
        <v>43.723735809326172</v>
      </c>
      <c r="V117" s="2">
        <v>41.666667938232422</v>
      </c>
      <c r="W117" s="2">
        <v>42.685798645019531</v>
      </c>
      <c r="X117" s="2">
        <v>54.545455932617188</v>
      </c>
      <c r="Y117" s="2">
        <v>56.73114013671875</v>
      </c>
      <c r="Z117" s="2">
        <v>46.428569793701172</v>
      </c>
      <c r="AA117" s="2">
        <v>49.4129638671875</v>
      </c>
      <c r="AB117" s="2">
        <v>100</v>
      </c>
      <c r="AC117" s="46" t="str">
        <f t="shared" si="38"/>
        <v>NRA*</v>
      </c>
      <c r="AD117" s="2">
        <v>37.226276397705078</v>
      </c>
      <c r="AE117" s="2">
        <v>33.080654144287109</v>
      </c>
      <c r="AF117" s="2"/>
      <c r="AG117" s="4">
        <f t="shared" si="39"/>
        <v>140</v>
      </c>
      <c r="AH117" s="4" t="str" cm="1">
        <f t="array" ref="AH117">IF(AG117="NR**","NR**",INDEX(trust_indicator_data!$A$2:$BE$127,(ROW()-ROW(trust_indicator_data!$A$1:$BE$1)),MATCH(selected_indic_name_adj,trust_indicator_data!$A$1:$BE$1,0)))</f>
        <v>NRA*</v>
      </c>
      <c r="AI117" s="4" t="str">
        <f>IF(AG117="NR**","NR**",IF(AH117="NRA*","NRA*",RANK(AH117,AH:AH,1)+COUNTIF($AH$2:AH117,AH117)-1))</f>
        <v>NRA*</v>
      </c>
      <c r="AJ117" s="4" cm="1">
        <f t="array" ref="AJ117">IF(AG117="NR**","NR**",INDEX(trust_indicator_data!$A$2:$BE$127,(ROW()-ROW(trust_indicator_data!$A$1:$BE$1)),MATCH(selected_indic_name_unadj,trust_indicator_data!$A$1:$BE$1,0)))</f>
        <v>58.400001525878906</v>
      </c>
      <c r="AK117" s="4">
        <f>IF(AG117="NR**","NR**",RANK(trust_indicator_data!AJ117,AJ:AJ,1)+COUNTIF($AJ$2:AJ117,AJ117)-1)</f>
        <v>113</v>
      </c>
      <c r="AM117" s="4" cm="1">
        <f t="array" ref="AM117">IF(AQ117&lt;10,0,INDEX(trust_indicator_data!$A$2:$BE$127,(ROW()-ROW(trust_indicator_data!$A$1:$BE$1)),MATCH(selected_indic_name_unadj,trust_indicator_data!$A$1:$BE$1,0)))</f>
        <v>58.400001525878906</v>
      </c>
      <c r="AN117" s="4">
        <f t="shared" si="40"/>
        <v>113</v>
      </c>
      <c r="AP117" s="4">
        <f>RANK(trust_indicator_data!$AQ117,AQ:AQ,1)+COUNTIF($AQ$2:AQ117,AQ117)-1</f>
        <v>25</v>
      </c>
      <c r="AQ117" s="4" cm="1">
        <f t="array" ref="AQ117">INDEX(trust_indicator_data!$A$2:$BE$127,(ROW()-ROW(trust_indicator_data!$A$1:$BE$1)),MATCH(selected_indic_denom,trust_indicator_data!$A$1:$BE$1,0))</f>
        <v>140</v>
      </c>
      <c r="AR117" s="4" cm="1">
        <f t="array" ref="AR117">INDEX(trust_indicator_data!$A$2:$BE$127,(ROW()-ROW(trust_indicator_data!$A$1:$BE$1)),MATCH(selected_indic_name_unadj,trust_indicator_data!$A$1:$BE$1,0))/100</f>
        <v>0.58400001525878908</v>
      </c>
      <c r="AS117" s="4">
        <f>IF(AQ117&lt;10,NA(),trust_indicator_data!$AR117)</f>
        <v>0.58400001525878908</v>
      </c>
      <c r="AU117" s="4">
        <f>INDEX(table_national_indic,MATCH($AU$1,national_indicator_data!$A$1:$A$17,0),MATCH(selected_indic_name_unadj,national_indicator_data!$A$1:$R$1,0))</f>
        <v>0.47675243377685544</v>
      </c>
      <c r="AV117" s="4">
        <f>INDEX(table_national_indic,MATCH($AV$1,national_indicator_data!$A$1:$A$7,0),MATCH(selected_indic_name_unadj,national_indicator_data!$A$1:$R$1,0))</f>
        <v>0.76214221292766271</v>
      </c>
      <c r="AW117" s="4">
        <f t="shared" si="51"/>
        <v>0.67762678745481109</v>
      </c>
      <c r="AX117" s="4">
        <f t="shared" si="52"/>
        <v>0.84665763840051433</v>
      </c>
      <c r="AY117" s="4">
        <f t="shared" si="53"/>
        <v>0.63536907471838522</v>
      </c>
      <c r="AZ117" s="4">
        <f t="shared" si="54"/>
        <v>0.8889153511369402</v>
      </c>
      <c r="BA117" s="4">
        <f>INDEX(table_national_indic,MATCH($BA$1,national_indicator_data!$A$1:$A$7,0),MATCH(selected_indic_name_unadj,national_indicator_data!$A$1:$R$1,0))</f>
        <v>0</v>
      </c>
      <c r="BB117" s="4">
        <f t="shared" si="55"/>
        <v>0.39306117368466365</v>
      </c>
      <c r="BC117" s="4">
        <f t="shared" si="41"/>
        <v>0.56110633008515209</v>
      </c>
      <c r="BD117" s="4">
        <f t="shared" si="42"/>
        <v>0.35221210744287129</v>
      </c>
      <c r="BE117" s="4">
        <f t="shared" si="43"/>
        <v>0.60277925747016914</v>
      </c>
      <c r="BG117">
        <f t="shared" si="57"/>
        <v>116</v>
      </c>
      <c r="BH117">
        <f t="shared" si="56"/>
        <v>464</v>
      </c>
      <c r="BI117" s="42">
        <f t="shared" si="45"/>
        <v>0.53652969360351566</v>
      </c>
      <c r="BJ117" s="42">
        <f t="shared" si="46"/>
        <v>0.43054553896594339</v>
      </c>
      <c r="BK117" s="42">
        <f t="shared" si="47"/>
        <v>0.52315959471004048</v>
      </c>
      <c r="BL117" s="42">
        <f t="shared" si="48"/>
        <v>0.40764174312186113</v>
      </c>
      <c r="BM117" s="42">
        <f t="shared" si="49"/>
        <v>0.54631331866164623</v>
      </c>
      <c r="BN117" s="42">
        <f t="shared" si="50"/>
        <v>0.47675243377685544</v>
      </c>
    </row>
    <row r="118" spans="1:66" x14ac:dyDescent="0.25">
      <c r="A118" t="s">
        <v>306</v>
      </c>
      <c r="B118" t="s">
        <v>305</v>
      </c>
      <c r="C118" t="s">
        <v>18</v>
      </c>
      <c r="D118" t="s">
        <v>16</v>
      </c>
      <c r="E118" s="2">
        <v>222</v>
      </c>
      <c r="F118" s="2">
        <v>197</v>
      </c>
      <c r="G118" s="2">
        <v>19</v>
      </c>
      <c r="H118" s="2">
        <v>55</v>
      </c>
      <c r="I118" s="2">
        <v>60</v>
      </c>
      <c r="J118" s="2">
        <v>52</v>
      </c>
      <c r="K118" s="2">
        <v>18</v>
      </c>
      <c r="L118" s="2">
        <v>45.754718780517578</v>
      </c>
      <c r="M118" s="46" t="str">
        <f t="shared" si="35"/>
        <v>NRA*</v>
      </c>
      <c r="N118" s="2">
        <v>62.962963104248047</v>
      </c>
      <c r="O118" s="46" t="str">
        <f t="shared" si="36"/>
        <v>NRA*</v>
      </c>
      <c r="P118" s="2">
        <v>89.090911865234375</v>
      </c>
      <c r="Q118" s="46" t="str">
        <f t="shared" si="37"/>
        <v>NRA*</v>
      </c>
      <c r="R118" s="2">
        <v>21.319797515869141</v>
      </c>
      <c r="S118" s="2">
        <v>16.824356079101563</v>
      </c>
      <c r="T118" s="2">
        <v>57.894737243652344</v>
      </c>
      <c r="U118" s="4">
        <v>58.045734405517578</v>
      </c>
      <c r="V118" s="2">
        <v>78.333335876464844</v>
      </c>
      <c r="W118" s="2">
        <v>73.844383239746094</v>
      </c>
      <c r="X118" s="2">
        <v>66.666664123535156</v>
      </c>
      <c r="Y118" s="2">
        <v>62.672908782958984</v>
      </c>
      <c r="Z118" s="2">
        <v>55.769229888916016</v>
      </c>
      <c r="AA118" s="2">
        <v>57.170482635498047</v>
      </c>
      <c r="AB118" s="2">
        <v>24.840764999389648</v>
      </c>
      <c r="AC118" s="46" t="str">
        <f t="shared" si="38"/>
        <v>NRA*</v>
      </c>
      <c r="AD118" s="2">
        <v>31.818181991577148</v>
      </c>
      <c r="AE118" s="2">
        <v>33.655147552490234</v>
      </c>
      <c r="AF118" s="2"/>
      <c r="AG118" s="34">
        <f t="shared" si="39"/>
        <v>222</v>
      </c>
      <c r="AH118" s="34" t="str" cm="1">
        <f t="array" ref="AH118">IF(AG118="NR**","NR**",INDEX(trust_indicator_data!$A$2:$BE$127,(ROW()-ROW(trust_indicator_data!$A$1:$BE$1)),MATCH(selected_indic_name_adj,trust_indicator_data!$A$1:$BE$1,0)))</f>
        <v>NRA*</v>
      </c>
      <c r="AI118" s="34" t="str">
        <f>IF(AG118="NR**","NR**",IF(AH118="NRA*","NRA*",RANK(AH118,AH:AH,1)+COUNTIF($AH$2:AH118,AH118)-1))</f>
        <v>NRA*</v>
      </c>
      <c r="AJ118" s="34" cm="1">
        <f t="array" ref="AJ118">IF(AG118="NR**","NR**",INDEX(trust_indicator_data!$A$2:$BE$127,(ROW()-ROW(trust_indicator_data!$A$1:$BE$1)),MATCH(selected_indic_name_unadj,trust_indicator_data!$A$1:$BE$1,0)))</f>
        <v>45.754718780517578</v>
      </c>
      <c r="AK118" s="34">
        <f>IF(AG118="NR**","NR**",RANK(trust_indicator_data!AJ118,AJ:AJ,1)+COUNTIF($AJ$2:AJ118,AJ118)-1)</f>
        <v>41</v>
      </c>
      <c r="AM118" s="34" cm="1">
        <f t="array" ref="AM118">IF(AQ118&lt;10,0,INDEX(trust_indicator_data!$A$2:$BE$127,(ROW()-ROW(trust_indicator_data!$A$1:$BE$1)),MATCH(selected_indic_name_unadj,trust_indicator_data!$A$1:$BE$1,0)))</f>
        <v>45.754718780517578</v>
      </c>
      <c r="AN118" s="34">
        <f t="shared" si="40"/>
        <v>41</v>
      </c>
      <c r="AP118" s="34">
        <f>RANK(trust_indicator_data!$AQ118,AQ:AQ,1)+COUNTIF($AQ$2:AQ118,AQ118)-1</f>
        <v>55</v>
      </c>
      <c r="AQ118" s="34" cm="1">
        <f t="array" ref="AQ118">INDEX(trust_indicator_data!$A$2:$BE$127,(ROW()-ROW(trust_indicator_data!$A$1:$BE$1)),MATCH(selected_indic_denom,trust_indicator_data!$A$1:$BE$1,0))</f>
        <v>222</v>
      </c>
      <c r="AR118" s="34" cm="1">
        <f t="array" ref="AR118">INDEX(trust_indicator_data!$A$2:$BE$127,(ROW()-ROW(trust_indicator_data!$A$1:$BE$1)),MATCH(selected_indic_name_unadj,trust_indicator_data!$A$1:$BE$1,0))/100</f>
        <v>0.45754718780517578</v>
      </c>
      <c r="AS118" s="34">
        <f>IF(AQ118&lt;10,NA(),trust_indicator_data!$AR118)</f>
        <v>0.45754718780517578</v>
      </c>
      <c r="AU118" s="34">
        <f>INDEX(table_national_indic,MATCH($AU$1,national_indicator_data!$A$1:$A$17,0),MATCH(selected_indic_name_unadj,national_indicator_data!$A$1:$R$1,0))</f>
        <v>0.47675243377685544</v>
      </c>
      <c r="AV118" s="34">
        <f>INDEX(table_national_indic,MATCH($AV$1,national_indicator_data!$A$1:$A$7,0),MATCH(selected_indic_name_unadj,national_indicator_data!$A$1:$R$1,0))</f>
        <v>0.76214221292766271</v>
      </c>
      <c r="AW118" s="34">
        <f t="shared" si="51"/>
        <v>0.69502660740626032</v>
      </c>
      <c r="AX118" s="34">
        <f t="shared" si="52"/>
        <v>0.8292578184490651</v>
      </c>
      <c r="AY118" s="34">
        <f t="shared" si="53"/>
        <v>0.66146880464555902</v>
      </c>
      <c r="AZ118" s="34">
        <f t="shared" si="54"/>
        <v>0.8628156212097664</v>
      </c>
      <c r="BA118" s="34">
        <f>INDEX(table_national_indic,MATCH($BA$1,national_indicator_data!$A$1:$A$7,0),MATCH(selected_indic_name_unadj,national_indicator_data!$A$1:$R$1,0))</f>
        <v>0</v>
      </c>
      <c r="BB118" s="34">
        <f t="shared" si="55"/>
        <v>0.41011968501800544</v>
      </c>
      <c r="BC118" s="34">
        <f t="shared" si="41"/>
        <v>0.54380342903886791</v>
      </c>
      <c r="BD118" s="34">
        <f t="shared" si="42"/>
        <v>0.37733566077679076</v>
      </c>
      <c r="BE118" s="34">
        <f t="shared" si="43"/>
        <v>0.57710849596091263</v>
      </c>
      <c r="BG118">
        <f t="shared" si="57"/>
        <v>117</v>
      </c>
      <c r="BH118">
        <f t="shared" si="56"/>
        <v>475</v>
      </c>
      <c r="BI118" s="42">
        <f t="shared" si="45"/>
        <v>0.49736843109130857</v>
      </c>
      <c r="BJ118" s="42">
        <f t="shared" si="46"/>
        <v>0.43108102535979537</v>
      </c>
      <c r="BK118" s="42">
        <f t="shared" si="47"/>
        <v>0.52261947382945451</v>
      </c>
      <c r="BL118" s="42">
        <f t="shared" si="48"/>
        <v>0.40843893957007832</v>
      </c>
      <c r="BM118" s="42">
        <f t="shared" si="49"/>
        <v>0.54550571312981067</v>
      </c>
      <c r="BN118" s="42">
        <f t="shared" si="50"/>
        <v>0.47675243377685544</v>
      </c>
    </row>
    <row r="119" spans="1:66" x14ac:dyDescent="0.25">
      <c r="A119" t="s">
        <v>298</v>
      </c>
      <c r="B119" t="s">
        <v>297</v>
      </c>
      <c r="C119" t="s">
        <v>27</v>
      </c>
      <c r="D119" t="s">
        <v>25</v>
      </c>
      <c r="E119" s="2">
        <v>172</v>
      </c>
      <c r="F119" s="2">
        <v>161</v>
      </c>
      <c r="G119" s="2">
        <v>11</v>
      </c>
      <c r="H119" s="2">
        <v>22</v>
      </c>
      <c r="I119" s="2">
        <v>40</v>
      </c>
      <c r="J119" s="2">
        <v>24</v>
      </c>
      <c r="K119" s="2">
        <v>6</v>
      </c>
      <c r="L119" s="2">
        <v>57.575756072998047</v>
      </c>
      <c r="M119" s="46" t="str">
        <f t="shared" si="35"/>
        <v>NRA*</v>
      </c>
      <c r="N119" s="2">
        <v>33.734939575195313</v>
      </c>
      <c r="O119" s="46" t="str">
        <f t="shared" si="36"/>
        <v>NRA*</v>
      </c>
      <c r="P119" s="2">
        <v>100</v>
      </c>
      <c r="Q119" s="46" t="str">
        <f t="shared" si="37"/>
        <v>NRA*</v>
      </c>
      <c r="R119" s="2">
        <v>15.527950286865234</v>
      </c>
      <c r="S119" s="2">
        <v>19.486917495727539</v>
      </c>
      <c r="T119" s="2">
        <v>54.545455932617188</v>
      </c>
      <c r="U119" s="4">
        <v>62.162151336669922</v>
      </c>
      <c r="V119" s="2">
        <v>77.5</v>
      </c>
      <c r="W119" s="2">
        <v>78.238136291503906</v>
      </c>
      <c r="X119" s="2"/>
      <c r="Y119" s="2"/>
      <c r="Z119" s="2">
        <v>50</v>
      </c>
      <c r="AA119" s="2">
        <v>52.790115356445313</v>
      </c>
      <c r="AB119" s="2">
        <v>98.165138244628906</v>
      </c>
      <c r="AC119" s="46" t="str">
        <f t="shared" si="38"/>
        <v>NRA*</v>
      </c>
      <c r="AD119" s="2">
        <v>44.705883026123047</v>
      </c>
      <c r="AE119" s="2">
        <v>37.848670959472656</v>
      </c>
      <c r="AF119" s="2"/>
      <c r="AG119" s="4">
        <f t="shared" si="39"/>
        <v>172</v>
      </c>
      <c r="AH119" s="4" t="str" cm="1">
        <f t="array" ref="AH119">IF(AG119="NR**","NR**",INDEX(trust_indicator_data!$A$2:$BE$127,(ROW()-ROW(trust_indicator_data!$A$1:$BE$1)),MATCH(selected_indic_name_adj,trust_indicator_data!$A$1:$BE$1,0)))</f>
        <v>NRA*</v>
      </c>
      <c r="AI119" s="4" t="str">
        <f>IF(AG119="NR**","NR**",IF(AH119="NRA*","NRA*",RANK(AH119,AH:AH,1)+COUNTIF($AH$2:AH119,AH119)-1))</f>
        <v>NRA*</v>
      </c>
      <c r="AJ119" s="4" cm="1">
        <f t="array" ref="AJ119">IF(AG119="NR**","NR**",INDEX(trust_indicator_data!$A$2:$BE$127,(ROW()-ROW(trust_indicator_data!$A$1:$BE$1)),MATCH(selected_indic_name_unadj,trust_indicator_data!$A$1:$BE$1,0)))</f>
        <v>57.575756072998047</v>
      </c>
      <c r="AK119" s="4">
        <f>IF(AG119="NR**","NR**",RANK(trust_indicator_data!AJ119,AJ:AJ,1)+COUNTIF($AJ$2:AJ119,AJ119)-1)</f>
        <v>110</v>
      </c>
      <c r="AM119" s="4" cm="1">
        <f t="array" ref="AM119">IF(AQ119&lt;10,0,INDEX(trust_indicator_data!$A$2:$BE$127,(ROW()-ROW(trust_indicator_data!$A$1:$BE$1)),MATCH(selected_indic_name_unadj,trust_indicator_data!$A$1:$BE$1,0)))</f>
        <v>57.575756072998047</v>
      </c>
      <c r="AN119" s="4">
        <f t="shared" si="40"/>
        <v>110</v>
      </c>
      <c r="AP119" s="4">
        <f>RANK(trust_indicator_data!$AQ119,AQ:AQ,1)+COUNTIF($AQ$2:AQ119,AQ119)-1</f>
        <v>32</v>
      </c>
      <c r="AQ119" s="4" cm="1">
        <f t="array" ref="AQ119">INDEX(trust_indicator_data!$A$2:$BE$127,(ROW()-ROW(trust_indicator_data!$A$1:$BE$1)),MATCH(selected_indic_denom,trust_indicator_data!$A$1:$BE$1,0))</f>
        <v>172</v>
      </c>
      <c r="AR119" s="4" cm="1">
        <f t="array" ref="AR119">INDEX(trust_indicator_data!$A$2:$BE$127,(ROW()-ROW(trust_indicator_data!$A$1:$BE$1)),MATCH(selected_indic_name_unadj,trust_indicator_data!$A$1:$BE$1,0))/100</f>
        <v>0.57575756072998052</v>
      </c>
      <c r="AS119" s="4">
        <f>IF(AQ119&lt;10,NA(),trust_indicator_data!$AR119)</f>
        <v>0.57575756072998052</v>
      </c>
      <c r="AU119" s="4">
        <f>INDEX(table_national_indic,MATCH($AU$1,national_indicator_data!$A$1:$A$17,0),MATCH(selected_indic_name_unadj,national_indicator_data!$A$1:$R$1,0))</f>
        <v>0.47675243377685544</v>
      </c>
      <c r="AV119" s="4">
        <f>INDEX(table_national_indic,MATCH($AV$1,national_indicator_data!$A$1:$A$7,0),MATCH(selected_indic_name_unadj,national_indicator_data!$A$1:$R$1,0))</f>
        <v>0.76214221292766271</v>
      </c>
      <c r="AW119" s="4">
        <f t="shared" si="51"/>
        <v>0.68589292776136035</v>
      </c>
      <c r="AX119" s="4">
        <f t="shared" si="52"/>
        <v>0.83839149809396507</v>
      </c>
      <c r="AY119" s="4">
        <f t="shared" si="53"/>
        <v>0.64776828517820917</v>
      </c>
      <c r="AZ119" s="4">
        <f t="shared" si="54"/>
        <v>0.87651614067711625</v>
      </c>
      <c r="BA119" s="4">
        <f>INDEX(table_national_indic,MATCH($BA$1,national_indicator_data!$A$1:$A$7,0),MATCH(selected_indic_name_unadj,national_indicator_data!$A$1:$R$1,0))</f>
        <v>0</v>
      </c>
      <c r="BB119" s="4">
        <f t="shared" si="55"/>
        <v>0.40115028517292739</v>
      </c>
      <c r="BC119" s="4">
        <f t="shared" si="41"/>
        <v>0.55289417651359407</v>
      </c>
      <c r="BD119" s="4">
        <f t="shared" si="42"/>
        <v>0.3641015380330796</v>
      </c>
      <c r="BE119" s="4">
        <f t="shared" si="43"/>
        <v>0.59061447692751912</v>
      </c>
      <c r="BG119">
        <f t="shared" si="57"/>
        <v>118</v>
      </c>
      <c r="BH119">
        <f t="shared" si="56"/>
        <v>508</v>
      </c>
      <c r="BI119" s="42">
        <f t="shared" si="45"/>
        <v>0.42323650360107423</v>
      </c>
      <c r="BJ119" s="42">
        <f t="shared" si="46"/>
        <v>0.43258219681526427</v>
      </c>
      <c r="BK119" s="42">
        <f t="shared" si="47"/>
        <v>0.52110560235984649</v>
      </c>
      <c r="BL119" s="42">
        <f t="shared" si="48"/>
        <v>0.41067442418676403</v>
      </c>
      <c r="BM119" s="42">
        <f t="shared" si="49"/>
        <v>0.54324170198628463</v>
      </c>
      <c r="BN119" s="42">
        <f t="shared" si="50"/>
        <v>0.47675243377685544</v>
      </c>
    </row>
    <row r="120" spans="1:66" x14ac:dyDescent="0.25">
      <c r="A120" t="s">
        <v>166</v>
      </c>
      <c r="B120" t="s">
        <v>165</v>
      </c>
      <c r="C120" t="s">
        <v>24</v>
      </c>
      <c r="D120" t="s">
        <v>22</v>
      </c>
      <c r="E120" s="2">
        <v>108</v>
      </c>
      <c r="F120" s="2">
        <v>102</v>
      </c>
      <c r="G120" s="2">
        <v>6</v>
      </c>
      <c r="H120" s="2">
        <v>8</v>
      </c>
      <c r="I120" s="2">
        <v>10</v>
      </c>
      <c r="J120" s="2">
        <v>29</v>
      </c>
      <c r="K120" s="2">
        <v>6</v>
      </c>
      <c r="L120" s="2">
        <v>63.333332061767578</v>
      </c>
      <c r="M120" s="46" t="str">
        <f t="shared" si="35"/>
        <v>NRA*</v>
      </c>
      <c r="N120" s="2">
        <v>53.333332061767578</v>
      </c>
      <c r="O120" s="46" t="str">
        <f t="shared" si="36"/>
        <v>NRA*</v>
      </c>
      <c r="P120" s="2"/>
      <c r="Q120" s="46" t="str">
        <f t="shared" si="37"/>
        <v>NRA*</v>
      </c>
      <c r="R120" s="2">
        <v>8.8235292434692383</v>
      </c>
      <c r="S120" s="2">
        <v>15.862418174743652</v>
      </c>
      <c r="T120" s="2"/>
      <c r="V120" s="2">
        <v>80</v>
      </c>
      <c r="W120" s="2">
        <v>75.202735900878906</v>
      </c>
      <c r="X120" s="2"/>
      <c r="Y120" s="2"/>
      <c r="Z120" s="2">
        <v>75.862068176269531</v>
      </c>
      <c r="AA120" s="2">
        <v>73.11572265625</v>
      </c>
      <c r="AB120" s="2">
        <v>46.153846740722656</v>
      </c>
      <c r="AC120" s="46" t="str">
        <f t="shared" si="38"/>
        <v>NRA*</v>
      </c>
      <c r="AD120" s="2">
        <v>40.740741729736328</v>
      </c>
      <c r="AE120" s="2">
        <v>38.206264495849609</v>
      </c>
      <c r="AF120" s="2"/>
      <c r="AG120" s="34">
        <f t="shared" si="39"/>
        <v>108</v>
      </c>
      <c r="AH120" s="34" t="str" cm="1">
        <f t="array" ref="AH120">IF(AG120="NR**","NR**",INDEX(trust_indicator_data!$A$2:$BE$127,(ROW()-ROW(trust_indicator_data!$A$1:$BE$1)),MATCH(selected_indic_name_adj,trust_indicator_data!$A$1:$BE$1,0)))</f>
        <v>NRA*</v>
      </c>
      <c r="AI120" s="34" t="str">
        <f>IF(AG120="NR**","NR**",IF(AH120="NRA*","NRA*",RANK(AH120,AH:AH,1)+COUNTIF($AH$2:AH120,AH120)-1))</f>
        <v>NRA*</v>
      </c>
      <c r="AJ120" s="34" cm="1">
        <f t="array" ref="AJ120">IF(AG120="NR**","NR**",INDEX(trust_indicator_data!$A$2:$BE$127,(ROW()-ROW(trust_indicator_data!$A$1:$BE$1)),MATCH(selected_indic_name_unadj,trust_indicator_data!$A$1:$BE$1,0)))</f>
        <v>63.333332061767578</v>
      </c>
      <c r="AK120" s="34">
        <f>IF(AG120="NR**","NR**",RANK(trust_indicator_data!AJ120,AJ:AJ,1)+COUNTIF($AJ$2:AJ120,AJ120)-1)</f>
        <v>124</v>
      </c>
      <c r="AM120" s="34" cm="1">
        <f t="array" ref="AM120">IF(AQ120&lt;10,0,INDEX(trust_indicator_data!$A$2:$BE$127,(ROW()-ROW(trust_indicator_data!$A$1:$BE$1)),MATCH(selected_indic_name_unadj,trust_indicator_data!$A$1:$BE$1,0)))</f>
        <v>63.333332061767578</v>
      </c>
      <c r="AN120" s="34">
        <f t="shared" si="40"/>
        <v>124</v>
      </c>
      <c r="AP120" s="34">
        <f>RANK(trust_indicator_data!$AQ120,AQ:AQ,1)+COUNTIF($AQ$2:AQ120,AQ120)-1</f>
        <v>11</v>
      </c>
      <c r="AQ120" s="34" cm="1">
        <f t="array" ref="AQ120">INDEX(trust_indicator_data!$A$2:$BE$127,(ROW()-ROW(trust_indicator_data!$A$1:$BE$1)),MATCH(selected_indic_denom,trust_indicator_data!$A$1:$BE$1,0))</f>
        <v>108</v>
      </c>
      <c r="AR120" s="34" cm="1">
        <f t="array" ref="AR120">INDEX(trust_indicator_data!$A$2:$BE$127,(ROW()-ROW(trust_indicator_data!$A$1:$BE$1)),MATCH(selected_indic_name_unadj,trust_indicator_data!$A$1:$BE$1,0))/100</f>
        <v>0.63333332061767578</v>
      </c>
      <c r="AS120" s="34">
        <f>IF(AQ120&lt;10,NA(),trust_indicator_data!$AR120)</f>
        <v>0.63333332061767578</v>
      </c>
      <c r="AU120" s="34">
        <f>INDEX(table_national_indic,MATCH($AU$1,national_indicator_data!$A$1:$A$17,0),MATCH(selected_indic_name_unadj,national_indicator_data!$A$1:$R$1,0))</f>
        <v>0.47675243377685544</v>
      </c>
      <c r="AV120" s="34">
        <f>INDEX(table_national_indic,MATCH($AV$1,national_indicator_data!$A$1:$A$7,0),MATCH(selected_indic_name_unadj,national_indicator_data!$A$1:$R$1,0))</f>
        <v>0.76214221292766271</v>
      </c>
      <c r="AW120" s="34">
        <f t="shared" si="51"/>
        <v>0.66591716806272505</v>
      </c>
      <c r="AX120" s="34">
        <f t="shared" si="52"/>
        <v>0.85836725779260037</v>
      </c>
      <c r="AY120" s="34">
        <f t="shared" si="53"/>
        <v>0.61780464563025628</v>
      </c>
      <c r="AZ120" s="34">
        <f t="shared" si="54"/>
        <v>0.90647978022506914</v>
      </c>
      <c r="BA120" s="34">
        <f>INDEX(table_national_indic,MATCH($BA$1,national_indicator_data!$A$1:$A$7,0),MATCH(selected_indic_name_unadj,national_indicator_data!$A$1:$R$1,0))</f>
        <v>0</v>
      </c>
      <c r="BB120" s="34">
        <f t="shared" si="55"/>
        <v>0.38165287966537376</v>
      </c>
      <c r="BC120" s="34">
        <f t="shared" si="41"/>
        <v>0.57271035466609199</v>
      </c>
      <c r="BD120" s="34">
        <f t="shared" si="42"/>
        <v>0.33552709879536813</v>
      </c>
      <c r="BE120" s="34">
        <f t="shared" si="43"/>
        <v>0.61990164980607154</v>
      </c>
      <c r="BG120">
        <f t="shared" si="57"/>
        <v>119</v>
      </c>
      <c r="BH120">
        <f t="shared" si="56"/>
        <v>552</v>
      </c>
      <c r="BI120" s="42">
        <f t="shared" si="45"/>
        <v>0.39307537078857424</v>
      </c>
      <c r="BJ120" s="42">
        <f t="shared" si="46"/>
        <v>0.43437114787885706</v>
      </c>
      <c r="BK120" s="42">
        <f t="shared" si="47"/>
        <v>0.51930207859679733</v>
      </c>
      <c r="BL120" s="42">
        <f t="shared" si="48"/>
        <v>0.41333966223710472</v>
      </c>
      <c r="BM120" s="42">
        <f t="shared" si="49"/>
        <v>0.54054372700710873</v>
      </c>
      <c r="BN120" s="42">
        <f t="shared" si="50"/>
        <v>0.47675243377685544</v>
      </c>
    </row>
    <row r="121" spans="1:66" s="3" customFormat="1" x14ac:dyDescent="0.25">
      <c r="A121" s="3" t="s">
        <v>631</v>
      </c>
      <c r="B121" s="3" t="s">
        <v>331</v>
      </c>
      <c r="C121" s="3" t="s">
        <v>63</v>
      </c>
      <c r="D121" s="3" t="s">
        <v>61</v>
      </c>
      <c r="E121" s="124">
        <v>582</v>
      </c>
      <c r="F121" s="124">
        <v>539</v>
      </c>
      <c r="G121" s="124">
        <v>36</v>
      </c>
      <c r="H121" s="124">
        <v>83</v>
      </c>
      <c r="I121" s="124">
        <v>99</v>
      </c>
      <c r="J121" s="124">
        <v>125</v>
      </c>
      <c r="K121" s="124">
        <v>63</v>
      </c>
      <c r="L121" s="124">
        <v>48.255813598632813</v>
      </c>
      <c r="M121" s="125" t="str">
        <f t="shared" si="35"/>
        <v>NRA*</v>
      </c>
      <c r="N121" s="124">
        <v>55.018589019775391</v>
      </c>
      <c r="O121" s="125" t="str">
        <f t="shared" si="36"/>
        <v>NRA*</v>
      </c>
      <c r="P121" s="124">
        <v>66.265060424804688</v>
      </c>
      <c r="Q121" s="125" t="str">
        <f t="shared" si="37"/>
        <v>NRA*</v>
      </c>
      <c r="R121" s="124">
        <v>13.914656639099121</v>
      </c>
      <c r="S121" s="124">
        <v>16.843233108520508</v>
      </c>
      <c r="T121" s="124">
        <v>80.555557250976563</v>
      </c>
      <c r="U121" s="123">
        <v>72.874404907226563</v>
      </c>
      <c r="V121" s="124">
        <v>64.646461486816406</v>
      </c>
      <c r="W121" s="124">
        <v>68.767112731933594</v>
      </c>
      <c r="X121" s="124">
        <v>53.968254089355469</v>
      </c>
      <c r="Y121" s="124">
        <v>61.606845855712891</v>
      </c>
      <c r="Z121" s="124">
        <v>56.799999237060547</v>
      </c>
      <c r="AA121" s="124">
        <v>62.083980560302734</v>
      </c>
      <c r="AB121" s="124">
        <v>93.867927551269531</v>
      </c>
      <c r="AC121" s="125" t="str">
        <f t="shared" si="38"/>
        <v>NRA*</v>
      </c>
      <c r="AD121" s="124">
        <v>40.217391967773438</v>
      </c>
      <c r="AE121" s="124">
        <v>41.879379272460938</v>
      </c>
      <c r="AF121" s="124"/>
      <c r="AG121" s="123">
        <f t="shared" si="39"/>
        <v>582</v>
      </c>
      <c r="AH121" s="123" t="str" cm="1">
        <f t="array" ref="AH121">IF(AG121="NR**","NR**",INDEX(trust_indicator_data!$A$2:$BE$127,(ROW()-ROW(trust_indicator_data!$A$1:$BE$1)),MATCH(selected_indic_name_adj,trust_indicator_data!$A$1:$BE$1,0)))</f>
        <v>NRA*</v>
      </c>
      <c r="AI121" s="123" t="str">
        <f>IF(AG121="NR**","NR**",IF(AH121="NRA*","NRA*",RANK(AH121,AH:AH,1)+COUNTIF($AH$2:AH121,AH121)-1))</f>
        <v>NRA*</v>
      </c>
      <c r="AJ121" s="123" cm="1">
        <f t="array" ref="AJ121">IF(AG121="NR**","NR**",INDEX(trust_indicator_data!$A$2:$BE$127,(ROW()-ROW(trust_indicator_data!$A$1:$BE$1)),MATCH(selected_indic_name_unadj,trust_indicator_data!$A$1:$BE$1,0)))</f>
        <v>48.255813598632813</v>
      </c>
      <c r="AK121" s="123">
        <f>IF(AG121="NR**","NR**",RANK(trust_indicator_data!AJ121,AJ:AJ,1)+COUNTIF($AJ$2:AJ121,AJ121)-1)</f>
        <v>55</v>
      </c>
      <c r="AM121" s="123" cm="1">
        <f t="array" ref="AM121">IF(AQ121&lt;10,0,INDEX(trust_indicator_data!$A$2:$BE$127,(ROW()-ROW(trust_indicator_data!$A$1:$BE$1)),MATCH(selected_indic_name_unadj,trust_indicator_data!$A$1:$BE$1,0)))</f>
        <v>48.255813598632813</v>
      </c>
      <c r="AN121" s="123">
        <f t="shared" si="40"/>
        <v>55</v>
      </c>
      <c r="AP121" s="123">
        <f>RANK(trust_indicator_data!$AQ121,AQ:AQ,1)+COUNTIF($AQ$2:AQ121,AQ121)-1</f>
        <v>121</v>
      </c>
      <c r="AQ121" s="123" cm="1">
        <f t="array" ref="AQ121">INDEX(trust_indicator_data!$A$2:$BE$127,(ROW()-ROW(trust_indicator_data!$A$1:$BE$1)),MATCH(selected_indic_denom,trust_indicator_data!$A$1:$BE$1,0))</f>
        <v>582</v>
      </c>
      <c r="AR121" s="123" cm="1">
        <f t="array" ref="AR121">INDEX(trust_indicator_data!$A$2:$BE$127,(ROW()-ROW(trust_indicator_data!$A$1:$BE$1)),MATCH(selected_indic_name_unadj,trust_indicator_data!$A$1:$BE$1,0))/100</f>
        <v>0.48255813598632813</v>
      </c>
      <c r="AS121" s="123">
        <f>IF(AQ121&lt;10,NA(),trust_indicator_data!$AR121)</f>
        <v>0.48255813598632813</v>
      </c>
      <c r="AU121" s="123">
        <f>INDEX(table_national_indic,MATCH($AU$1,national_indicator_data!$A$1:$A$17,0),MATCH(selected_indic_name_unadj,national_indicator_data!$A$1:$R$1,0))</f>
        <v>0.47675243377685544</v>
      </c>
      <c r="AV121" s="123">
        <f>INDEX(table_national_indic,MATCH($AV$1,national_indicator_data!$A$1:$A$7,0),MATCH(selected_indic_name_unadj,national_indicator_data!$A$1:$R$1,0))</f>
        <v>0.76214221292766271</v>
      </c>
      <c r="AW121" s="123">
        <f t="shared" si="51"/>
        <v>0.72069087931317877</v>
      </c>
      <c r="AX121" s="123">
        <f t="shared" si="52"/>
        <v>0.80359354654214665</v>
      </c>
      <c r="AY121" s="123">
        <f t="shared" si="53"/>
        <v>0.6999652125059368</v>
      </c>
      <c r="AZ121" s="123">
        <f t="shared" si="54"/>
        <v>0.82431921334938862</v>
      </c>
      <c r="BA121" s="123">
        <f>INDEX(table_national_indic,MATCH($BA$1,national_indicator_data!$A$1:$A$7,0),MATCH(selected_indic_name_unadj,national_indicator_data!$A$1:$R$1,0))</f>
        <v>0</v>
      </c>
      <c r="BB121" s="123">
        <f t="shared" si="55"/>
        <v>0.43547318572868643</v>
      </c>
      <c r="BC121" s="123">
        <f t="shared" si="41"/>
        <v>0.51819136742307126</v>
      </c>
      <c r="BD121" s="123">
        <f t="shared" si="42"/>
        <v>0.41498214742896472</v>
      </c>
      <c r="BE121" s="123">
        <f t="shared" si="43"/>
        <v>0.53888175553903517</v>
      </c>
      <c r="BG121" s="3">
        <f t="shared" si="57"/>
        <v>120</v>
      </c>
      <c r="BH121" s="3">
        <f t="shared" si="56"/>
        <v>565</v>
      </c>
      <c r="BI121" s="126">
        <f t="shared" si="45"/>
        <v>0.30476190567016603</v>
      </c>
      <c r="BJ121" s="126">
        <f t="shared" si="46"/>
        <v>0.43485942892446644</v>
      </c>
      <c r="BK121" s="126">
        <f t="shared" si="47"/>
        <v>0.51880992609176535</v>
      </c>
      <c r="BL121" s="126">
        <f t="shared" si="48"/>
        <v>0.4140673411986236</v>
      </c>
      <c r="BM121" s="126">
        <f t="shared" si="49"/>
        <v>0.53980735026132853</v>
      </c>
      <c r="BN121" s="126">
        <f t="shared" si="50"/>
        <v>0.47675243377685544</v>
      </c>
    </row>
    <row r="122" spans="1:66" x14ac:dyDescent="0.25">
      <c r="A122" t="s">
        <v>118</v>
      </c>
      <c r="B122" t="s">
        <v>117</v>
      </c>
      <c r="C122" t="s">
        <v>18</v>
      </c>
      <c r="D122" t="s">
        <v>16</v>
      </c>
      <c r="E122" s="2">
        <v>280</v>
      </c>
      <c r="F122" s="2">
        <v>254</v>
      </c>
      <c r="G122" s="2">
        <v>24</v>
      </c>
      <c r="H122" s="2">
        <v>48</v>
      </c>
      <c r="I122" s="2">
        <v>71</v>
      </c>
      <c r="J122" s="2">
        <v>40</v>
      </c>
      <c r="K122" s="2">
        <v>21</v>
      </c>
      <c r="L122" s="2">
        <v>44.890510559082031</v>
      </c>
      <c r="M122" s="46" t="str">
        <f t="shared" si="35"/>
        <v>NRA*</v>
      </c>
      <c r="N122" s="2">
        <v>41.155235290527344</v>
      </c>
      <c r="O122" s="46" t="str">
        <f t="shared" si="36"/>
        <v>NRA*</v>
      </c>
      <c r="P122" s="2">
        <v>83.333335876464844</v>
      </c>
      <c r="Q122" s="46" t="str">
        <f t="shared" si="37"/>
        <v>NRA*</v>
      </c>
      <c r="R122" s="2">
        <v>20.866142272949219</v>
      </c>
      <c r="S122" s="2">
        <v>21.030858993530273</v>
      </c>
      <c r="T122" s="2">
        <v>62.5</v>
      </c>
      <c r="U122" s="4">
        <v>64.492568969726563</v>
      </c>
      <c r="V122" s="2">
        <v>74.64788818359375</v>
      </c>
      <c r="W122" s="2">
        <v>75.522384643554688</v>
      </c>
      <c r="X122" s="2">
        <v>76.190475463867188</v>
      </c>
      <c r="Y122" s="2">
        <v>82.176445007324219</v>
      </c>
      <c r="Z122" s="2">
        <v>67.5</v>
      </c>
      <c r="AA122" s="2">
        <v>68.352058410644531</v>
      </c>
      <c r="AB122" s="2">
        <v>94.339622497558594</v>
      </c>
      <c r="AC122" s="46" t="str">
        <f t="shared" si="38"/>
        <v>NRA*</v>
      </c>
      <c r="AD122" s="2">
        <v>32.258064270019531</v>
      </c>
      <c r="AE122" s="2">
        <v>28.984733581542969</v>
      </c>
      <c r="AF122" s="2"/>
      <c r="AG122" s="34">
        <f t="shared" si="39"/>
        <v>280</v>
      </c>
      <c r="AH122" s="34" t="str" cm="1">
        <f t="array" ref="AH122">IF(AG122="NR**","NR**",INDEX(trust_indicator_data!$A$2:$BE$127,(ROW()-ROW(trust_indicator_data!$A$1:$BE$1)),MATCH(selected_indic_name_adj,trust_indicator_data!$A$1:$BE$1,0)))</f>
        <v>NRA*</v>
      </c>
      <c r="AI122" s="34" t="str">
        <f>IF(AG122="NR**","NR**",IF(AH122="NRA*","NRA*",RANK(AH122,AH:AH,1)+COUNTIF($AH$2:AH122,AH122)-1))</f>
        <v>NRA*</v>
      </c>
      <c r="AJ122" s="34" cm="1">
        <f t="array" ref="AJ122">IF(AG122="NR**","NR**",INDEX(trust_indicator_data!$A$2:$BE$127,(ROW()-ROW(trust_indicator_data!$A$1:$BE$1)),MATCH(selected_indic_name_unadj,trust_indicator_data!$A$1:$BE$1,0)))</f>
        <v>44.890510559082031</v>
      </c>
      <c r="AK122" s="34">
        <f>IF(AG122="NR**","NR**",RANK(trust_indicator_data!AJ122,AJ:AJ,1)+COUNTIF($AJ$2:AJ122,AJ122)-1)</f>
        <v>36</v>
      </c>
      <c r="AM122" s="34" cm="1">
        <f t="array" ref="AM122">IF(AQ122&lt;10,0,INDEX(trust_indicator_data!$A$2:$BE$127,(ROW()-ROW(trust_indicator_data!$A$1:$BE$1)),MATCH(selected_indic_name_unadj,trust_indicator_data!$A$1:$BE$1,0)))</f>
        <v>44.890510559082031</v>
      </c>
      <c r="AN122" s="34">
        <f t="shared" si="40"/>
        <v>36</v>
      </c>
      <c r="AP122" s="34">
        <f>RANK(trust_indicator_data!$AQ122,AQ:AQ,1)+COUNTIF($AQ$2:AQ122,AQ122)-1</f>
        <v>81</v>
      </c>
      <c r="AQ122" s="34" cm="1">
        <f t="array" ref="AQ122">INDEX(trust_indicator_data!$A$2:$BE$127,(ROW()-ROW(trust_indicator_data!$A$1:$BE$1)),MATCH(selected_indic_denom,trust_indicator_data!$A$1:$BE$1,0))</f>
        <v>280</v>
      </c>
      <c r="AR122" s="34" cm="1">
        <f t="array" ref="AR122">INDEX(trust_indicator_data!$A$2:$BE$127,(ROW()-ROW(trust_indicator_data!$A$1:$BE$1)),MATCH(selected_indic_name_unadj,trust_indicator_data!$A$1:$BE$1,0))/100</f>
        <v>0.44890510559082031</v>
      </c>
      <c r="AS122" s="34">
        <f>IF(AQ122&lt;10,NA(),trust_indicator_data!$AR122)</f>
        <v>0.44890510559082031</v>
      </c>
      <c r="AU122" s="34">
        <f>INDEX(table_national_indic,MATCH($AU$1,national_indicator_data!$A$1:$A$17,0),MATCH(selected_indic_name_unadj,national_indicator_data!$A$1:$R$1,0))</f>
        <v>0.47675243377685544</v>
      </c>
      <c r="AV122" s="34">
        <f>INDEX(table_national_indic,MATCH($AV$1,national_indicator_data!$A$1:$A$7,0),MATCH(selected_indic_name_unadj,national_indicator_data!$A$1:$R$1,0))</f>
        <v>0.76214221292766271</v>
      </c>
      <c r="AW122" s="34">
        <f t="shared" si="51"/>
        <v>0.70238078246094304</v>
      </c>
      <c r="AX122" s="34">
        <f t="shared" si="52"/>
        <v>0.82190364339438238</v>
      </c>
      <c r="AY122" s="34">
        <f t="shared" si="53"/>
        <v>0.67250006722758315</v>
      </c>
      <c r="AZ122" s="34">
        <f t="shared" si="54"/>
        <v>0.85178435862774227</v>
      </c>
      <c r="BA122" s="34">
        <f>INDEX(table_national_indic,MATCH($BA$1,national_indicator_data!$A$1:$A$7,0),MATCH(selected_indic_name_unadj,national_indicator_data!$A$1:$R$1,0))</f>
        <v>0</v>
      </c>
      <c r="BB122" s="34">
        <f t="shared" si="55"/>
        <v>0.41736352451091813</v>
      </c>
      <c r="BC122" s="34">
        <f t="shared" si="41"/>
        <v>0.5364730559531441</v>
      </c>
      <c r="BD122" s="34">
        <f t="shared" si="42"/>
        <v>0.38805879253271569</v>
      </c>
      <c r="BE122" s="34">
        <f t="shared" si="43"/>
        <v>0.56619131882002027</v>
      </c>
      <c r="BG122">
        <f t="shared" si="57"/>
        <v>121</v>
      </c>
      <c r="BH122">
        <f t="shared" si="56"/>
        <v>582</v>
      </c>
      <c r="BI122" s="42">
        <f t="shared" si="45"/>
        <v>0.48255813598632813</v>
      </c>
      <c r="BJ122" s="42">
        <f t="shared" si="46"/>
        <v>0.43547318572868643</v>
      </c>
      <c r="BK122" s="42">
        <f t="shared" si="47"/>
        <v>0.51819136742307126</v>
      </c>
      <c r="BL122" s="42">
        <f t="shared" si="48"/>
        <v>0.41498214742896472</v>
      </c>
      <c r="BM122" s="42">
        <f t="shared" si="49"/>
        <v>0.53888175553903517</v>
      </c>
      <c r="BN122" s="42">
        <f t="shared" si="50"/>
        <v>0.47675243377685544</v>
      </c>
    </row>
    <row r="123" spans="1:66" x14ac:dyDescent="0.25">
      <c r="A123" t="s">
        <v>304</v>
      </c>
      <c r="B123" t="s">
        <v>303</v>
      </c>
      <c r="C123" t="s">
        <v>74</v>
      </c>
      <c r="D123" t="s">
        <v>72</v>
      </c>
      <c r="E123" s="2">
        <v>275</v>
      </c>
      <c r="F123" s="2">
        <v>251</v>
      </c>
      <c r="G123" s="2">
        <v>23</v>
      </c>
      <c r="H123" s="2">
        <v>33</v>
      </c>
      <c r="I123" s="2">
        <v>45</v>
      </c>
      <c r="J123" s="2">
        <v>83</v>
      </c>
      <c r="K123" s="2">
        <v>19</v>
      </c>
      <c r="L123" s="2">
        <v>61.660079956054688</v>
      </c>
      <c r="M123" s="46" t="str">
        <f t="shared" si="35"/>
        <v>NRA*</v>
      </c>
      <c r="N123" s="2">
        <v>58.367347717285156</v>
      </c>
      <c r="O123" s="46" t="str">
        <f t="shared" si="36"/>
        <v>NRA*</v>
      </c>
      <c r="P123" s="2">
        <v>78.787879943847656</v>
      </c>
      <c r="Q123" s="46" t="str">
        <f t="shared" si="37"/>
        <v>NRA*</v>
      </c>
      <c r="R123" s="2">
        <v>11.155378341674805</v>
      </c>
      <c r="S123" s="2">
        <v>15.673961639404297</v>
      </c>
      <c r="T123" s="2">
        <v>82.608695983886719</v>
      </c>
      <c r="U123" s="4">
        <v>81.738624572753906</v>
      </c>
      <c r="V123" s="2">
        <v>55.555557250976563</v>
      </c>
      <c r="W123" s="2">
        <v>60.036731719970703</v>
      </c>
      <c r="X123" s="2">
        <v>15.789473533630371</v>
      </c>
      <c r="Y123" s="2">
        <v>17.054632186889648</v>
      </c>
      <c r="Z123" s="2">
        <v>36.144577026367188</v>
      </c>
      <c r="AA123" s="2">
        <v>41.004085540771484</v>
      </c>
      <c r="AB123" s="2">
        <v>98.275863647460938</v>
      </c>
      <c r="AC123" s="46" t="str">
        <f t="shared" si="38"/>
        <v>NRA*</v>
      </c>
      <c r="AD123" s="2">
        <v>35.636363983154297</v>
      </c>
      <c r="AE123" s="2">
        <v>34.999973297119141</v>
      </c>
      <c r="AF123" s="2"/>
      <c r="AG123" s="4">
        <f t="shared" si="39"/>
        <v>275</v>
      </c>
      <c r="AH123" s="4" t="str" cm="1">
        <f t="array" ref="AH123">IF(AG123="NR**","NR**",INDEX(trust_indicator_data!$A$2:$BE$127,(ROW()-ROW(trust_indicator_data!$A$1:$BE$1)),MATCH(selected_indic_name_adj,trust_indicator_data!$A$1:$BE$1,0)))</f>
        <v>NRA*</v>
      </c>
      <c r="AI123" s="4" t="str">
        <f>IF(AG123="NR**","NR**",IF(AH123="NRA*","NRA*",RANK(AH123,AH:AH,1)+COUNTIF($AH$2:AH123,AH123)-1))</f>
        <v>NRA*</v>
      </c>
      <c r="AJ123" s="4" cm="1">
        <f t="array" ref="AJ123">IF(AG123="NR**","NR**",INDEX(trust_indicator_data!$A$2:$BE$127,(ROW()-ROW(trust_indicator_data!$A$1:$BE$1)),MATCH(selected_indic_name_unadj,trust_indicator_data!$A$1:$BE$1,0)))</f>
        <v>61.660079956054688</v>
      </c>
      <c r="AK123" s="4">
        <f>IF(AG123="NR**","NR**",RANK(trust_indicator_data!AJ123,AJ:AJ,1)+COUNTIF($AJ$2:AJ123,AJ123)-1)</f>
        <v>120</v>
      </c>
      <c r="AM123" s="4" cm="1">
        <f t="array" ref="AM123">IF(AQ123&lt;10,0,INDEX(trust_indicator_data!$A$2:$BE$127,(ROW()-ROW(trust_indicator_data!$A$1:$BE$1)),MATCH(selected_indic_name_unadj,trust_indicator_data!$A$1:$BE$1,0)))</f>
        <v>61.660079956054688</v>
      </c>
      <c r="AN123" s="4">
        <f t="shared" si="40"/>
        <v>120</v>
      </c>
      <c r="AP123" s="4">
        <f>RANK(trust_indicator_data!$AQ123,AQ:AQ,1)+COUNTIF($AQ$2:AQ123,AQ123)-1</f>
        <v>78</v>
      </c>
      <c r="AQ123" s="4" cm="1">
        <f t="array" ref="AQ123">INDEX(trust_indicator_data!$A$2:$BE$127,(ROW()-ROW(trust_indicator_data!$A$1:$BE$1)),MATCH(selected_indic_denom,trust_indicator_data!$A$1:$BE$1,0))</f>
        <v>275</v>
      </c>
      <c r="AR123" s="4" cm="1">
        <f t="array" ref="AR123">INDEX(trust_indicator_data!$A$2:$BE$127,(ROW()-ROW(trust_indicator_data!$A$1:$BE$1)),MATCH(selected_indic_name_unadj,trust_indicator_data!$A$1:$BE$1,0))/100</f>
        <v>0.61660079956054692</v>
      </c>
      <c r="AS123" s="4">
        <f>IF(AQ123&lt;10,NA(),trust_indicator_data!$AR123)</f>
        <v>0.61660079956054692</v>
      </c>
      <c r="AU123" s="4">
        <f>INDEX(table_national_indic,MATCH($AU$1,national_indicator_data!$A$1:$A$17,0),MATCH(selected_indic_name_unadj,national_indicator_data!$A$1:$R$1,0))</f>
        <v>0.47675243377685544</v>
      </c>
      <c r="AV123" s="4">
        <f>INDEX(table_national_indic,MATCH($AV$1,national_indicator_data!$A$1:$A$7,0),MATCH(selected_indic_name_unadj,national_indicator_data!$A$1:$R$1,0))</f>
        <v>0.76214221292766271</v>
      </c>
      <c r="AW123" s="4">
        <f t="shared" si="51"/>
        <v>0.70183994401211003</v>
      </c>
      <c r="AX123" s="4">
        <f t="shared" si="52"/>
        <v>0.82244448184321539</v>
      </c>
      <c r="AY123" s="4">
        <f t="shared" si="53"/>
        <v>0.67168880955433363</v>
      </c>
      <c r="AZ123" s="4">
        <f t="shared" si="54"/>
        <v>0.85259561630099179</v>
      </c>
      <c r="BA123" s="4">
        <f>INDEX(table_national_indic,MATCH($BA$1,national_indicator_data!$A$1:$A$7,0),MATCH(selected_indic_name_unadj,national_indicator_data!$A$1:$R$1,0))</f>
        <v>0</v>
      </c>
      <c r="BB123" s="4">
        <f t="shared" si="55"/>
        <v>0.41683017219269924</v>
      </c>
      <c r="BC123" s="4">
        <f t="shared" si="41"/>
        <v>0.5370124321030324</v>
      </c>
      <c r="BD123" s="4">
        <f t="shared" si="42"/>
        <v>0.38726827538501318</v>
      </c>
      <c r="BE123" s="4">
        <f t="shared" si="43"/>
        <v>0.56699534888164826</v>
      </c>
      <c r="BG123">
        <f t="shared" si="57"/>
        <v>122</v>
      </c>
      <c r="BH123">
        <f t="shared" si="56"/>
        <v>603</v>
      </c>
      <c r="BI123" s="42">
        <f t="shared" si="45"/>
        <v>0.4969449996948242</v>
      </c>
      <c r="BJ123" s="42">
        <f t="shared" si="46"/>
        <v>0.43619535003342036</v>
      </c>
      <c r="BK123" s="42">
        <f t="shared" si="47"/>
        <v>0.51746364500291142</v>
      </c>
      <c r="BL123" s="42">
        <f t="shared" si="48"/>
        <v>0.41605872181845766</v>
      </c>
      <c r="BM123" s="42">
        <f t="shared" si="49"/>
        <v>0.53779269298482713</v>
      </c>
      <c r="BN123" s="42">
        <f t="shared" si="50"/>
        <v>0.47675243377685544</v>
      </c>
    </row>
    <row r="124" spans="1:66" x14ac:dyDescent="0.25">
      <c r="A124" t="s">
        <v>256</v>
      </c>
      <c r="B124" t="s">
        <v>255</v>
      </c>
      <c r="C124" t="s">
        <v>30</v>
      </c>
      <c r="D124" t="s">
        <v>28</v>
      </c>
      <c r="E124" s="2">
        <v>238</v>
      </c>
      <c r="F124" s="2">
        <v>212</v>
      </c>
      <c r="G124" s="2">
        <v>25</v>
      </c>
      <c r="H124" s="2">
        <v>27</v>
      </c>
      <c r="I124" s="2">
        <v>38</v>
      </c>
      <c r="J124" s="2">
        <v>47</v>
      </c>
      <c r="K124" s="2">
        <v>21</v>
      </c>
      <c r="L124" s="2">
        <v>50.869564056396484</v>
      </c>
      <c r="M124" s="46" t="str">
        <f t="shared" si="35"/>
        <v>NRA*</v>
      </c>
      <c r="N124" s="2">
        <v>45.248867034912109</v>
      </c>
      <c r="O124" s="46" t="str">
        <f t="shared" si="36"/>
        <v>NRA*</v>
      </c>
      <c r="P124" s="2">
        <v>85.185188293457031</v>
      </c>
      <c r="Q124" s="46" t="str">
        <f t="shared" si="37"/>
        <v>NRA*</v>
      </c>
      <c r="R124" s="2">
        <v>9.4339618682861328</v>
      </c>
      <c r="S124" s="2">
        <v>11.866837501525879</v>
      </c>
      <c r="T124" s="2">
        <v>36</v>
      </c>
      <c r="U124" s="4">
        <v>39.696941375732422</v>
      </c>
      <c r="V124" s="2">
        <v>84.210525512695313</v>
      </c>
      <c r="W124" s="2">
        <v>84.196327209472656</v>
      </c>
      <c r="X124" s="2">
        <v>80.952377319335938</v>
      </c>
      <c r="Y124" s="2">
        <v>87.524833679199219</v>
      </c>
      <c r="Z124" s="2">
        <v>55.319149017333984</v>
      </c>
      <c r="AA124" s="2">
        <v>53.654136657714844</v>
      </c>
      <c r="AB124" s="2">
        <v>97.986579895019531</v>
      </c>
      <c r="AC124" s="46" t="str">
        <f t="shared" si="38"/>
        <v>NRA*</v>
      </c>
      <c r="AD124" s="2">
        <v>38.818565368652344</v>
      </c>
      <c r="AE124" s="2">
        <v>35.607784271240234</v>
      </c>
      <c r="AF124" s="2"/>
      <c r="AG124" s="34">
        <f t="shared" si="39"/>
        <v>238</v>
      </c>
      <c r="AH124" s="34" t="str" cm="1">
        <f t="array" ref="AH124">IF(AG124="NR**","NR**",INDEX(trust_indicator_data!$A$2:$BE$127,(ROW()-ROW(trust_indicator_data!$A$1:$BE$1)),MATCH(selected_indic_name_adj,trust_indicator_data!$A$1:$BE$1,0)))</f>
        <v>NRA*</v>
      </c>
      <c r="AI124" s="34" t="str">
        <f>IF(AG124="NR**","NR**",IF(AH124="NRA*","NRA*",RANK(AH124,AH:AH,1)+COUNTIF($AH$2:AH124,AH124)-1))</f>
        <v>NRA*</v>
      </c>
      <c r="AJ124" s="34" cm="1">
        <f t="array" ref="AJ124">IF(AG124="NR**","NR**",INDEX(trust_indicator_data!$A$2:$BE$127,(ROW()-ROW(trust_indicator_data!$A$1:$BE$1)),MATCH(selected_indic_name_unadj,trust_indicator_data!$A$1:$BE$1,0)))</f>
        <v>50.869564056396484</v>
      </c>
      <c r="AK124" s="34">
        <f>IF(AG124="NR**","NR**",RANK(trust_indicator_data!AJ124,AJ:AJ,1)+COUNTIF($AJ$2:AJ124,AJ124)-1)</f>
        <v>74</v>
      </c>
      <c r="AM124" s="34" cm="1">
        <f t="array" ref="AM124">IF(AQ124&lt;10,0,INDEX(trust_indicator_data!$A$2:$BE$127,(ROW()-ROW(trust_indicator_data!$A$1:$BE$1)),MATCH(selected_indic_name_unadj,trust_indicator_data!$A$1:$BE$1,0)))</f>
        <v>50.869564056396484</v>
      </c>
      <c r="AN124" s="34">
        <f t="shared" si="40"/>
        <v>74</v>
      </c>
      <c r="AP124" s="34">
        <f>RANK(trust_indicator_data!$AQ124,AQ:AQ,1)+COUNTIF($AQ$2:AQ124,AQ124)-1</f>
        <v>65</v>
      </c>
      <c r="AQ124" s="34" cm="1">
        <f t="array" ref="AQ124">INDEX(trust_indicator_data!$A$2:$BE$127,(ROW()-ROW(trust_indicator_data!$A$1:$BE$1)),MATCH(selected_indic_denom,trust_indicator_data!$A$1:$BE$1,0))</f>
        <v>238</v>
      </c>
      <c r="AR124" s="34" cm="1">
        <f t="array" ref="AR124">INDEX(trust_indicator_data!$A$2:$BE$127,(ROW()-ROW(trust_indicator_data!$A$1:$BE$1)),MATCH(selected_indic_name_unadj,trust_indicator_data!$A$1:$BE$1,0))/100</f>
        <v>0.50869564056396488</v>
      </c>
      <c r="AS124" s="34">
        <f>IF(AQ124&lt;10,NA(),trust_indicator_data!$AR124)</f>
        <v>0.50869564056396488</v>
      </c>
      <c r="AU124" s="34">
        <f>INDEX(table_national_indic,MATCH($AU$1,national_indicator_data!$A$1:$A$17,0),MATCH(selected_indic_name_unadj,national_indicator_data!$A$1:$R$1,0))</f>
        <v>0.47675243377685544</v>
      </c>
      <c r="AV124" s="34">
        <f>INDEX(table_national_indic,MATCH($AV$1,national_indicator_data!$A$1:$A$7,0),MATCH(selected_indic_name_unadj,national_indicator_data!$A$1:$R$1,0))</f>
        <v>0.76214221292766271</v>
      </c>
      <c r="AW124" s="34">
        <f t="shared" si="51"/>
        <v>0.69732184057244628</v>
      </c>
      <c r="AX124" s="34">
        <f t="shared" si="52"/>
        <v>0.82696258528287914</v>
      </c>
      <c r="AY124" s="34">
        <f t="shared" si="53"/>
        <v>0.66491165439483801</v>
      </c>
      <c r="AZ124" s="34">
        <f t="shared" si="54"/>
        <v>0.85937277146048741</v>
      </c>
      <c r="BA124" s="34">
        <f>INDEX(table_national_indic,MATCH($BA$1,national_indicator_data!$A$1:$A$7,0),MATCH(selected_indic_name_unadj,national_indicator_data!$A$1:$R$1,0))</f>
        <v>0</v>
      </c>
      <c r="BB124" s="34">
        <f t="shared" si="55"/>
        <v>0.41237846877777601</v>
      </c>
      <c r="BC124" s="34">
        <f t="shared" si="41"/>
        <v>0.54151656726067077</v>
      </c>
      <c r="BD124" s="34">
        <f t="shared" si="42"/>
        <v>0.38067617845372803</v>
      </c>
      <c r="BE124" s="34">
        <f t="shared" si="43"/>
        <v>0.57370503193318889</v>
      </c>
      <c r="BG124">
        <f t="shared" si="57"/>
        <v>123</v>
      </c>
      <c r="BH124">
        <f t="shared" si="56"/>
        <v>625</v>
      </c>
      <c r="BI124" s="42">
        <f t="shared" si="45"/>
        <v>0.54181182861328125</v>
      </c>
      <c r="BJ124" s="42">
        <f t="shared" si="46"/>
        <v>0.43691265254722267</v>
      </c>
      <c r="BK124" s="42">
        <f t="shared" si="47"/>
        <v>0.51674092009554995</v>
      </c>
      <c r="BL124" s="42">
        <f t="shared" si="48"/>
        <v>0.41712824523351827</v>
      </c>
      <c r="BM124" s="42">
        <f t="shared" si="49"/>
        <v>0.5367109857486364</v>
      </c>
      <c r="BN124" s="42">
        <f t="shared" si="50"/>
        <v>0.47675243377685544</v>
      </c>
    </row>
    <row r="125" spans="1:66" x14ac:dyDescent="0.25">
      <c r="A125" t="s">
        <v>212</v>
      </c>
      <c r="B125" t="s">
        <v>211</v>
      </c>
      <c r="C125" t="s">
        <v>74</v>
      </c>
      <c r="D125" t="s">
        <v>72</v>
      </c>
      <c r="E125" s="2">
        <v>119</v>
      </c>
      <c r="F125" s="2">
        <v>110</v>
      </c>
      <c r="G125" s="2">
        <v>9</v>
      </c>
      <c r="H125" s="2">
        <v>12</v>
      </c>
      <c r="I125" s="2">
        <v>16</v>
      </c>
      <c r="J125" s="2">
        <v>32</v>
      </c>
      <c r="K125" s="2">
        <v>10</v>
      </c>
      <c r="L125" s="2">
        <v>60.360359191894531</v>
      </c>
      <c r="M125" s="46" t="str">
        <f t="shared" si="35"/>
        <v>NRA*</v>
      </c>
      <c r="N125" s="2">
        <v>51.327434539794922</v>
      </c>
      <c r="O125" s="46" t="str">
        <f t="shared" si="36"/>
        <v>NRA*</v>
      </c>
      <c r="P125" s="2">
        <v>66.666664123535156</v>
      </c>
      <c r="Q125" s="46" t="str">
        <f t="shared" si="37"/>
        <v>NRA*</v>
      </c>
      <c r="R125" s="2">
        <v>4.5454545021057129</v>
      </c>
      <c r="S125" s="2">
        <v>7.3147225379943848</v>
      </c>
      <c r="T125" s="2"/>
      <c r="V125" s="2">
        <v>93.75</v>
      </c>
      <c r="W125" s="2">
        <v>107.31696319580078</v>
      </c>
      <c r="X125" s="2">
        <v>50</v>
      </c>
      <c r="Y125" s="2">
        <v>47.0386962890625</v>
      </c>
      <c r="Z125" s="2">
        <v>78.125</v>
      </c>
      <c r="AA125" s="2">
        <v>74.843017578125</v>
      </c>
      <c r="AB125" s="2">
        <v>89.74359130859375</v>
      </c>
      <c r="AC125" s="46" t="str">
        <f t="shared" si="38"/>
        <v>NRA*</v>
      </c>
      <c r="AD125" s="2">
        <v>35.042736053466797</v>
      </c>
      <c r="AE125" s="2">
        <v>28.921489715576172</v>
      </c>
      <c r="AF125" s="2"/>
      <c r="AG125" s="4">
        <f t="shared" si="39"/>
        <v>119</v>
      </c>
      <c r="AH125" s="4" t="str" cm="1">
        <f t="array" ref="AH125">IF(AG125="NR**","NR**",INDEX(trust_indicator_data!$A$2:$BE$127,(ROW()-ROW(trust_indicator_data!$A$1:$BE$1)),MATCH(selected_indic_name_adj,trust_indicator_data!$A$1:$BE$1,0)))</f>
        <v>NRA*</v>
      </c>
      <c r="AI125" s="4" t="str">
        <f>IF(AG125="NR**","NR**",IF(AH125="NRA*","NRA*",RANK(AH125,AH:AH,1)+COUNTIF($AH$2:AH125,AH125)-1))</f>
        <v>NRA*</v>
      </c>
      <c r="AJ125" s="4" cm="1">
        <f t="array" ref="AJ125">IF(AG125="NR**","NR**",INDEX(trust_indicator_data!$A$2:$BE$127,(ROW()-ROW(trust_indicator_data!$A$1:$BE$1)),MATCH(selected_indic_name_unadj,trust_indicator_data!$A$1:$BE$1,0)))</f>
        <v>60.360359191894531</v>
      </c>
      <c r="AK125" s="4">
        <f>IF(AG125="NR**","NR**",RANK(trust_indicator_data!AJ125,AJ:AJ,1)+COUNTIF($AJ$2:AJ125,AJ125)-1)</f>
        <v>119</v>
      </c>
      <c r="AM125" s="4" cm="1">
        <f t="array" ref="AM125">IF(AQ125&lt;10,0,INDEX(trust_indicator_data!$A$2:$BE$127,(ROW()-ROW(trust_indicator_data!$A$1:$BE$1)),MATCH(selected_indic_name_unadj,trust_indicator_data!$A$1:$BE$1,0)))</f>
        <v>60.360359191894531</v>
      </c>
      <c r="AN125" s="4">
        <f t="shared" si="40"/>
        <v>119</v>
      </c>
      <c r="AP125" s="4">
        <f>RANK(trust_indicator_data!$AQ125,AQ:AQ,1)+COUNTIF($AQ$2:AQ125,AQ125)-1</f>
        <v>16</v>
      </c>
      <c r="AQ125" s="4" cm="1">
        <f t="array" ref="AQ125">INDEX(trust_indicator_data!$A$2:$BE$127,(ROW()-ROW(trust_indicator_data!$A$1:$BE$1)),MATCH(selected_indic_denom,trust_indicator_data!$A$1:$BE$1,0))</f>
        <v>119</v>
      </c>
      <c r="AR125" s="4" cm="1">
        <f t="array" ref="AR125">INDEX(trust_indicator_data!$A$2:$BE$127,(ROW()-ROW(trust_indicator_data!$A$1:$BE$1)),MATCH(selected_indic_name_unadj,trust_indicator_data!$A$1:$BE$1,0))/100</f>
        <v>0.6036035919189453</v>
      </c>
      <c r="AS125" s="4">
        <f>IF(AQ125&lt;10,NA(),trust_indicator_data!$AR125)</f>
        <v>0.6036035919189453</v>
      </c>
      <c r="AU125" s="4">
        <f>INDEX(table_national_indic,MATCH($AU$1,national_indicator_data!$A$1:$A$17,0),MATCH(selected_indic_name_unadj,national_indicator_data!$A$1:$R$1,0))</f>
        <v>0.47675243377685544</v>
      </c>
      <c r="AV125" s="4">
        <f>INDEX(table_national_indic,MATCH($AV$1,national_indicator_data!$A$1:$A$7,0),MATCH(selected_indic_name_unadj,national_indicator_data!$A$1:$R$1,0))</f>
        <v>0.76214221292766271</v>
      </c>
      <c r="AW125" s="4">
        <f t="shared" si="51"/>
        <v>0.67047236322484161</v>
      </c>
      <c r="AX125" s="4">
        <f t="shared" si="52"/>
        <v>0.85381206263048381</v>
      </c>
      <c r="AY125" s="4">
        <f t="shared" si="53"/>
        <v>0.624637438373431</v>
      </c>
      <c r="AZ125" s="4">
        <f t="shared" si="54"/>
        <v>0.89964698748189442</v>
      </c>
      <c r="BA125" s="4">
        <f>INDEX(table_national_indic,MATCH($BA$1,national_indicator_data!$A$1:$A$7,0),MATCH(selected_indic_name_unadj,national_indicator_data!$A$1:$R$1,0))</f>
        <v>0</v>
      </c>
      <c r="BB125" s="4">
        <f t="shared" si="55"/>
        <v>0.38608348536574499</v>
      </c>
      <c r="BC125" s="4">
        <f t="shared" si="41"/>
        <v>0.56820062655465386</v>
      </c>
      <c r="BD125" s="4">
        <f t="shared" si="42"/>
        <v>0.34199479487475182</v>
      </c>
      <c r="BE125" s="4">
        <f t="shared" si="43"/>
        <v>0.61325723865724424</v>
      </c>
      <c r="BG125">
        <f t="shared" si="57"/>
        <v>124</v>
      </c>
      <c r="BH125">
        <f t="shared" si="56"/>
        <v>629</v>
      </c>
      <c r="BI125" s="42">
        <f t="shared" si="45"/>
        <v>0.35871402740478514</v>
      </c>
      <c r="BJ125" s="42">
        <f t="shared" si="46"/>
        <v>0.43703902536497663</v>
      </c>
      <c r="BK125" s="42">
        <f t="shared" si="47"/>
        <v>0.51661360211865104</v>
      </c>
      <c r="BL125" s="42">
        <f t="shared" si="48"/>
        <v>0.41731669167546892</v>
      </c>
      <c r="BM125" s="42">
        <f t="shared" si="49"/>
        <v>0.53652041552514695</v>
      </c>
      <c r="BN125" s="42">
        <f t="shared" si="50"/>
        <v>0.47675243377685544</v>
      </c>
    </row>
    <row r="126" spans="1:66" x14ac:dyDescent="0.25">
      <c r="A126" t="s">
        <v>95</v>
      </c>
      <c r="B126" t="s">
        <v>94</v>
      </c>
      <c r="C126" t="s">
        <v>54</v>
      </c>
      <c r="D126" t="s">
        <v>52</v>
      </c>
      <c r="E126" s="2">
        <v>94</v>
      </c>
      <c r="F126" s="2">
        <v>89</v>
      </c>
      <c r="G126" s="2">
        <v>5</v>
      </c>
      <c r="H126" s="2">
        <v>15</v>
      </c>
      <c r="I126" s="2">
        <v>17</v>
      </c>
      <c r="J126" s="2">
        <v>26</v>
      </c>
      <c r="K126" s="2">
        <v>5</v>
      </c>
      <c r="L126" s="2">
        <v>54.347827911376953</v>
      </c>
      <c r="M126" s="46" t="str">
        <f t="shared" si="35"/>
        <v>NRA*</v>
      </c>
      <c r="N126" s="2">
        <v>58.823528289794922</v>
      </c>
      <c r="O126" s="46" t="str">
        <f t="shared" si="36"/>
        <v>NRA*</v>
      </c>
      <c r="P126" s="2">
        <v>100</v>
      </c>
      <c r="Q126" s="46" t="str">
        <f t="shared" si="37"/>
        <v>NRA*</v>
      </c>
      <c r="R126" s="2">
        <v>15.730337142944336</v>
      </c>
      <c r="S126" s="2">
        <v>17.776748657226563</v>
      </c>
      <c r="T126" s="2"/>
      <c r="V126" s="2">
        <v>76.470588684082031</v>
      </c>
      <c r="W126" s="2">
        <v>74.733741760253906</v>
      </c>
      <c r="X126" s="2"/>
      <c r="Y126" s="2"/>
      <c r="Z126" s="2">
        <v>38.461540222167969</v>
      </c>
      <c r="AA126" s="2">
        <v>37.109481811523438</v>
      </c>
      <c r="AB126" s="2">
        <v>100</v>
      </c>
      <c r="AC126" s="46" t="str">
        <f t="shared" si="38"/>
        <v>NRA*</v>
      </c>
      <c r="AD126" s="2">
        <v>55.681819915771484</v>
      </c>
      <c r="AE126" s="2">
        <v>51.074329376220703</v>
      </c>
      <c r="AF126" s="2"/>
      <c r="AG126" s="34">
        <f t="shared" si="39"/>
        <v>94</v>
      </c>
      <c r="AH126" s="34" t="str" cm="1">
        <f t="array" ref="AH126">IF(AG126="NR**","NR**",INDEX(trust_indicator_data!$A$2:$BE$127,(ROW()-ROW(trust_indicator_data!$A$1:$BE$1)),MATCH(selected_indic_name_adj,trust_indicator_data!$A$1:$BE$1,0)))</f>
        <v>NRA*</v>
      </c>
      <c r="AI126" s="34" t="str">
        <f>IF(AG126="NR**","NR**",IF(AH126="NRA*","NRA*",RANK(AH126,AH:AH,1)+COUNTIF($AH$2:AH126,AH126)-1))</f>
        <v>NRA*</v>
      </c>
      <c r="AJ126" s="34" cm="1">
        <f t="array" ref="AJ126">IF(AG126="NR**","NR**",INDEX(trust_indicator_data!$A$2:$BE$127,(ROW()-ROW(trust_indicator_data!$A$1:$BE$1)),MATCH(selected_indic_name_unadj,trust_indicator_data!$A$1:$BE$1,0)))</f>
        <v>54.347827911376953</v>
      </c>
      <c r="AK126" s="34">
        <f>IF(AG126="NR**","NR**",RANK(trust_indicator_data!AJ126,AJ:AJ,1)+COUNTIF($AJ$2:AJ126,AJ126)-1)</f>
        <v>99</v>
      </c>
      <c r="AM126" s="34" cm="1">
        <f t="array" ref="AM126">IF(AQ126&lt;10,0,INDEX(trust_indicator_data!$A$2:$BE$127,(ROW()-ROW(trust_indicator_data!$A$1:$BE$1)),MATCH(selected_indic_name_unadj,trust_indicator_data!$A$1:$BE$1,0)))</f>
        <v>54.347827911376953</v>
      </c>
      <c r="AN126" s="34">
        <f t="shared" si="40"/>
        <v>99</v>
      </c>
      <c r="AP126" s="34">
        <f>RANK(trust_indicator_data!$AQ126,AQ:AQ,1)+COUNTIF($AQ$2:AQ126,AQ126)-1</f>
        <v>7</v>
      </c>
      <c r="AQ126" s="34" cm="1">
        <f t="array" ref="AQ126">INDEX(trust_indicator_data!$A$2:$BE$127,(ROW()-ROW(trust_indicator_data!$A$1:$BE$1)),MATCH(selected_indic_denom,trust_indicator_data!$A$1:$BE$1,0))</f>
        <v>94</v>
      </c>
      <c r="AR126" s="34" cm="1">
        <f t="array" ref="AR126">INDEX(trust_indicator_data!$A$2:$BE$127,(ROW()-ROW(trust_indicator_data!$A$1:$BE$1)),MATCH(selected_indic_name_unadj,trust_indicator_data!$A$1:$BE$1,0))/100</f>
        <v>0.54347827911376956</v>
      </c>
      <c r="AS126" s="34">
        <f>IF(AQ126&lt;10,NA(),trust_indicator_data!$AR126)</f>
        <v>0.54347827911376956</v>
      </c>
      <c r="AU126" s="34">
        <f>INDEX(table_national_indic,MATCH($AU$1,national_indicator_data!$A$1:$A$17,0),MATCH(selected_indic_name_unadj,national_indicator_data!$A$1:$R$1,0))</f>
        <v>0.47675243377685544</v>
      </c>
      <c r="AV126" s="34">
        <f>INDEX(table_national_indic,MATCH($AV$1,national_indicator_data!$A$1:$A$7,0),MATCH(selected_indic_name_unadj,national_indicator_data!$A$1:$R$1,0))</f>
        <v>0.76214221292766271</v>
      </c>
      <c r="AW126" s="34">
        <f t="shared" si="51"/>
        <v>0.65900008830178336</v>
      </c>
      <c r="AX126" s="34">
        <f t="shared" si="52"/>
        <v>0.86528433755354206</v>
      </c>
      <c r="AY126" s="34">
        <f t="shared" si="53"/>
        <v>0.60742902598884374</v>
      </c>
      <c r="AZ126" s="34">
        <f t="shared" si="54"/>
        <v>0.91685539986648168</v>
      </c>
      <c r="BA126" s="34">
        <f>INDEX(table_national_indic,MATCH($BA$1,national_indicator_data!$A$1:$A$7,0),MATCH(selected_indic_name_unadj,national_indicator_data!$A$1:$R$1,0))</f>
        <v>0</v>
      </c>
      <c r="BB126" s="34">
        <f t="shared" si="55"/>
        <v>0.37494389339014722</v>
      </c>
      <c r="BC126" s="34">
        <f t="shared" si="41"/>
        <v>0.57954672926525796</v>
      </c>
      <c r="BD126" s="34">
        <f t="shared" si="42"/>
        <v>0.32576500890382482</v>
      </c>
      <c r="BE126" s="34">
        <f t="shared" si="43"/>
        <v>0.62994798675189656</v>
      </c>
      <c r="BG126">
        <f t="shared" si="57"/>
        <v>125</v>
      </c>
      <c r="BH126">
        <f t="shared" si="56"/>
        <v>786</v>
      </c>
      <c r="BI126" s="42">
        <f t="shared" si="45"/>
        <v>0.45906433105468752</v>
      </c>
      <c r="BJ126" s="42">
        <f t="shared" si="46"/>
        <v>0.44121153233835381</v>
      </c>
      <c r="BK126" s="42">
        <f t="shared" si="47"/>
        <v>0.51241159327579811</v>
      </c>
      <c r="BL126" s="42">
        <f t="shared" si="48"/>
        <v>0.42354197490305601</v>
      </c>
      <c r="BM126" s="42">
        <f t="shared" si="49"/>
        <v>0.5302288322525166</v>
      </c>
      <c r="BN126" s="42">
        <f t="shared" si="50"/>
        <v>0.47675243377685544</v>
      </c>
    </row>
    <row r="127" spans="1:66" x14ac:dyDescent="0.25">
      <c r="A127" t="s">
        <v>130</v>
      </c>
      <c r="B127" t="s">
        <v>129</v>
      </c>
      <c r="C127" t="s">
        <v>33</v>
      </c>
      <c r="D127" t="s">
        <v>31</v>
      </c>
      <c r="E127" s="2">
        <v>350</v>
      </c>
      <c r="F127" s="2">
        <v>325</v>
      </c>
      <c r="G127" s="2">
        <v>25</v>
      </c>
      <c r="H127" s="2">
        <v>40</v>
      </c>
      <c r="I127" s="2">
        <v>52</v>
      </c>
      <c r="J127" s="2">
        <v>52</v>
      </c>
      <c r="K127" s="2">
        <v>22</v>
      </c>
      <c r="L127" s="2">
        <v>49.541282653808594</v>
      </c>
      <c r="M127" s="46" t="str">
        <f t="shared" si="35"/>
        <v>NRA*</v>
      </c>
      <c r="N127" s="2">
        <v>45.149253845214844</v>
      </c>
      <c r="O127" s="46" t="str">
        <f t="shared" si="36"/>
        <v>NRA*</v>
      </c>
      <c r="P127" s="2">
        <v>80</v>
      </c>
      <c r="Q127" s="46" t="str">
        <f t="shared" si="37"/>
        <v>NRA*</v>
      </c>
      <c r="R127" s="2">
        <v>8.9230766296386719</v>
      </c>
      <c r="S127" s="2">
        <v>12.001171112060547</v>
      </c>
      <c r="T127" s="2">
        <v>60</v>
      </c>
      <c r="U127" s="4">
        <v>63.500732421875</v>
      </c>
      <c r="V127" s="2">
        <v>69.230766296386719</v>
      </c>
      <c r="W127" s="2">
        <v>72.151908874511719</v>
      </c>
      <c r="X127" s="2">
        <v>59.090908050537109</v>
      </c>
      <c r="Y127" s="2">
        <v>58.036922454833984</v>
      </c>
      <c r="Z127" s="2">
        <v>53.846153259277344</v>
      </c>
      <c r="AA127" s="2">
        <v>59.479282379150391</v>
      </c>
      <c r="AB127" s="2">
        <v>94.478530883789063</v>
      </c>
      <c r="AC127" s="46" t="str">
        <f t="shared" si="38"/>
        <v>NRA*</v>
      </c>
      <c r="AD127" s="2">
        <v>43.965518951416016</v>
      </c>
      <c r="AE127" s="2">
        <v>41.303134918212891</v>
      </c>
      <c r="AF127" s="2"/>
      <c r="AG127" s="35">
        <f t="shared" si="39"/>
        <v>350</v>
      </c>
      <c r="AH127" s="35" t="str" cm="1">
        <f t="array" ref="AH127">IF(AG127="NR**","NR**",INDEX(trust_indicator_data!$A$2:$BE$127,(ROW()-ROW(trust_indicator_data!$A$1:$BE$1)),MATCH(selected_indic_name_adj,trust_indicator_data!$A$1:$BE$1,0)))</f>
        <v>NRA*</v>
      </c>
      <c r="AI127" s="35" t="str">
        <f>IF(AG127="NR**","NR**",IF(AH127="NRA*","NRA*",RANK(AH127,AH:AH,1)+COUNTIF($AH$2:AH127,AH127)-1))</f>
        <v>NRA*</v>
      </c>
      <c r="AJ127" s="35" cm="1">
        <f t="array" ref="AJ127">IF(AG127="NR**","NR**",INDEX(trust_indicator_data!$A$2:$BE$127,(ROW()-ROW(trust_indicator_data!$A$1:$BE$1)),MATCH(selected_indic_name_unadj,trust_indicator_data!$A$1:$BE$1,0)))</f>
        <v>49.541282653808594</v>
      </c>
      <c r="AK127" s="35">
        <f>IF(AG127="NR**","NR**",RANK(trust_indicator_data!AJ127,AJ:AJ,1)+COUNTIF($AJ$2:AJ127,AJ127)-1)</f>
        <v>65</v>
      </c>
      <c r="AM127" s="35" cm="1">
        <f t="array" ref="AM127">IF(AQ127&lt;10,0,INDEX(trust_indicator_data!$A$2:$BE$127,(ROW()-ROW(trust_indicator_data!$A$1:$BE$1)),MATCH(selected_indic_name_unadj,trust_indicator_data!$A$1:$BE$1,0)))</f>
        <v>49.541282653808594</v>
      </c>
      <c r="AN127" s="35">
        <f t="shared" si="40"/>
        <v>65</v>
      </c>
      <c r="AP127" s="35">
        <f>RANK(trust_indicator_data!$AQ127,AQ:AQ,1)+COUNTIF($AQ$2:AQ127,AQ127)-1</f>
        <v>97</v>
      </c>
      <c r="AQ127" s="35" cm="1">
        <f t="array" ref="AQ127">INDEX(trust_indicator_data!$A$2:$BE$127,(ROW()-ROW(trust_indicator_data!$A$1:$BE$1)),MATCH(selected_indic_denom,trust_indicator_data!$A$1:$BE$1,0))</f>
        <v>350</v>
      </c>
      <c r="AR127" s="35" cm="1">
        <f t="array" ref="AR127">INDEX(trust_indicator_data!$A$2:$BE$127,(ROW()-ROW(trust_indicator_data!$A$1:$BE$1)),MATCH(selected_indic_name_unadj,trust_indicator_data!$A$1:$BE$1,0))/100</f>
        <v>0.49541282653808594</v>
      </c>
      <c r="AS127" s="35">
        <f>IF(AQ127&lt;10,NA(),trust_indicator_data!$AR127)</f>
        <v>0.49541282653808594</v>
      </c>
      <c r="AU127" s="35">
        <f>INDEX(table_national_indic,MATCH($AU$1,national_indicator_data!$A$1:$A$17,0),MATCH(selected_indic_name_unadj,national_indicator_data!$A$1:$R$1,0))</f>
        <v>0.47675243377685544</v>
      </c>
      <c r="AV127" s="35">
        <f>INDEX(table_national_indic,MATCH($AV$1,national_indicator_data!$A$1:$A$7,0),MATCH(selected_indic_name_unadj,national_indicator_data!$A$1:$R$1,0))</f>
        <v>0.76214221292766271</v>
      </c>
      <c r="AW127" s="35">
        <f t="shared" si="51"/>
        <v>0.70868996454517785</v>
      </c>
      <c r="AX127" s="35">
        <f t="shared" si="52"/>
        <v>0.81559446131014757</v>
      </c>
      <c r="AY127" s="35">
        <f t="shared" si="53"/>
        <v>0.68196384035393542</v>
      </c>
      <c r="AZ127" s="35">
        <f t="shared" si="54"/>
        <v>0.84232058550139</v>
      </c>
      <c r="BA127" s="35">
        <f>INDEX(table_national_indic,MATCH($BA$1,national_indicator_data!$A$1:$A$7,0),MATCH(selected_indic_name_unadj,national_indicator_data!$A$1:$R$1,0))</f>
        <v>0</v>
      </c>
      <c r="BB127" s="35">
        <f t="shared" si="55"/>
        <v>0.42359235547992441</v>
      </c>
      <c r="BC127" s="35">
        <f t="shared" si="41"/>
        <v>0.53017794560654796</v>
      </c>
      <c r="BD127" s="35">
        <f t="shared" si="42"/>
        <v>0.39730183904697969</v>
      </c>
      <c r="BE127" s="35">
        <f t="shared" si="43"/>
        <v>0.55679954317589797</v>
      </c>
      <c r="BG127">
        <f t="shared" si="57"/>
        <v>126</v>
      </c>
      <c r="BH127">
        <f t="shared" si="56"/>
        <v>792</v>
      </c>
      <c r="BI127" s="42">
        <f t="shared" si="45"/>
        <v>0.4655172348022461</v>
      </c>
      <c r="BJ127" s="42">
        <f t="shared" si="46"/>
        <v>0.44134596158657896</v>
      </c>
      <c r="BK127" s="42">
        <f t="shared" si="47"/>
        <v>0.51227626851026808</v>
      </c>
      <c r="BL127" s="42">
        <f t="shared" si="48"/>
        <v>0.42374264221599484</v>
      </c>
      <c r="BM127" s="42">
        <f t="shared" si="49"/>
        <v>0.53002615215384807</v>
      </c>
      <c r="BN127" s="42">
        <f t="shared" si="50"/>
        <v>0.47675243377685544</v>
      </c>
    </row>
  </sheetData>
  <autoFilter ref="A1:BK127" xr:uid="{00000000-0009-0000-0000-000006000000}"/>
  <conditionalFormatting sqref="E1:E127">
    <cfRule type="top10" dxfId="3" priority="8" bottom="1" rank="1"/>
    <cfRule type="top10" dxfId="2" priority="9" rank="1"/>
  </conditionalFormatting>
  <conditionalFormatting sqref="E1:I127">
    <cfRule type="cellIs" dxfId="1" priority="7" operator="equal">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A1:AI22"/>
  <sheetViews>
    <sheetView workbookViewId="0">
      <selection activeCell="A21" sqref="A21"/>
    </sheetView>
  </sheetViews>
  <sheetFormatPr defaultRowHeight="15" x14ac:dyDescent="0.25"/>
  <cols>
    <col min="1" max="1" width="41.42578125" bestFit="1" customWidth="1"/>
    <col min="2" max="2" width="15.28515625" customWidth="1"/>
    <col min="3" max="3" width="19.5703125" customWidth="1"/>
    <col min="4" max="4" width="5" customWidth="1"/>
    <col min="5" max="5" width="9.5703125" customWidth="1"/>
    <col min="6" max="6" width="8.42578125" customWidth="1"/>
    <col min="7" max="8" width="17" customWidth="1"/>
    <col min="9" max="9" width="18.140625" customWidth="1"/>
    <col min="10" max="10" width="17" customWidth="1"/>
    <col min="11" max="11" width="11" customWidth="1"/>
    <col min="12" max="12" width="14.7109375" customWidth="1"/>
    <col min="13" max="13" width="10.28515625" customWidth="1"/>
    <col min="14" max="14" width="14" customWidth="1"/>
    <col min="15" max="15" width="17.7109375" customWidth="1"/>
    <col min="16" max="16" width="21.42578125" customWidth="1"/>
    <col min="17" max="17" width="11.85546875" customWidth="1"/>
    <col min="18" max="18" width="15.5703125" customWidth="1"/>
    <col min="19" max="19" width="11.28515625" customWidth="1"/>
    <col min="20" max="20" width="15" customWidth="1"/>
    <col min="21" max="21" width="12.140625" customWidth="1"/>
    <col min="22" max="22" width="15.85546875" customWidth="1"/>
    <col min="23" max="23" width="11.140625" customWidth="1"/>
    <col min="24" max="24" width="14.85546875" customWidth="1"/>
    <col min="25" max="25" width="8.7109375" customWidth="1"/>
    <col min="26" max="26" width="12.42578125" customWidth="1"/>
    <col min="27" max="27" width="8.140625" customWidth="1"/>
    <col min="28" max="28" width="11.85546875" customWidth="1"/>
    <col min="29" max="29" width="15.140625" customWidth="1"/>
    <col min="30" max="33" width="18.85546875" customWidth="1"/>
    <col min="34" max="34" width="28.42578125" style="4" customWidth="1"/>
    <col min="35" max="35" width="27.42578125" customWidth="1"/>
    <col min="36" max="36" width="30.7109375" customWidth="1"/>
    <col min="37" max="37" width="29.7109375" customWidth="1"/>
  </cols>
  <sheetData>
    <row r="1" spans="1:35" x14ac:dyDescent="0.25">
      <c r="A1" s="11" t="s">
        <v>2</v>
      </c>
      <c r="B1" s="11" t="s">
        <v>1</v>
      </c>
      <c r="C1" s="11" t="s">
        <v>0</v>
      </c>
      <c r="D1" s="11" t="s">
        <v>3</v>
      </c>
      <c r="E1" s="11" t="s">
        <v>4</v>
      </c>
      <c r="F1" s="11" t="s">
        <v>5</v>
      </c>
      <c r="G1" s="11" t="s">
        <v>501</v>
      </c>
      <c r="H1" s="11" t="s">
        <v>502</v>
      </c>
      <c r="I1" s="11" t="s">
        <v>503</v>
      </c>
      <c r="J1" s="11" t="s">
        <v>504</v>
      </c>
      <c r="K1" s="11" t="s">
        <v>6</v>
      </c>
      <c r="L1" s="11" t="s">
        <v>527</v>
      </c>
      <c r="M1" s="11" t="s">
        <v>7</v>
      </c>
      <c r="N1" s="11" t="s">
        <v>528</v>
      </c>
      <c r="O1" s="11" t="s">
        <v>8</v>
      </c>
      <c r="P1" s="11" t="s">
        <v>529</v>
      </c>
      <c r="Q1" s="11" t="s">
        <v>9</v>
      </c>
      <c r="R1" s="11" t="s">
        <v>513</v>
      </c>
      <c r="S1" s="11" t="s">
        <v>10</v>
      </c>
      <c r="T1" s="11" t="s">
        <v>505</v>
      </c>
      <c r="U1" s="11" t="s">
        <v>506</v>
      </c>
      <c r="V1" s="11" t="s">
        <v>507</v>
      </c>
      <c r="W1" s="11" t="s">
        <v>508</v>
      </c>
      <c r="X1" s="11" t="s">
        <v>509</v>
      </c>
      <c r="Y1" s="11" t="s">
        <v>11</v>
      </c>
      <c r="Z1" s="11" t="s">
        <v>510</v>
      </c>
      <c r="AA1" s="11" t="s">
        <v>12</v>
      </c>
      <c r="AB1" s="11" t="s">
        <v>530</v>
      </c>
      <c r="AC1" s="11" t="s">
        <v>13</v>
      </c>
      <c r="AD1" s="11" t="s">
        <v>511</v>
      </c>
      <c r="AE1" s="11" t="s">
        <v>520</v>
      </c>
      <c r="AF1" s="32" t="s">
        <v>525</v>
      </c>
      <c r="AG1" s="32" t="s">
        <v>526</v>
      </c>
      <c r="AH1" s="32" t="s">
        <v>514</v>
      </c>
      <c r="AI1" s="36" t="s">
        <v>515</v>
      </c>
    </row>
    <row r="2" spans="1:35" x14ac:dyDescent="0.25">
      <c r="A2" s="12" t="s">
        <v>18</v>
      </c>
      <c r="B2" s="12" t="s">
        <v>16</v>
      </c>
      <c r="C2" s="12" t="s">
        <v>17</v>
      </c>
      <c r="D2" s="13">
        <v>2067</v>
      </c>
      <c r="E2" s="13">
        <v>1862</v>
      </c>
      <c r="F2" s="13">
        <v>186</v>
      </c>
      <c r="G2" s="13">
        <v>337</v>
      </c>
      <c r="H2" s="13">
        <v>435</v>
      </c>
      <c r="I2" s="13">
        <v>347</v>
      </c>
      <c r="J2" s="13">
        <v>157</v>
      </c>
      <c r="K2" s="33">
        <v>44.980587005615234</v>
      </c>
      <c r="L2" s="13" t="str">
        <f>"NRA*"</f>
        <v>NRA*</v>
      </c>
      <c r="M2" s="33">
        <v>52.707183837890625</v>
      </c>
      <c r="N2" s="13" t="str">
        <f>"NRA*"</f>
        <v>NRA*</v>
      </c>
      <c r="O2" s="33">
        <v>87.833824157714844</v>
      </c>
      <c r="P2" s="13" t="str">
        <f>"NRA*"</f>
        <v>NRA*</v>
      </c>
      <c r="Q2" s="33">
        <v>19.334049224853516</v>
      </c>
      <c r="R2" s="33">
        <v>17.771352767944336</v>
      </c>
      <c r="S2" s="33">
        <v>70.430107116699219</v>
      </c>
      <c r="T2" s="33">
        <v>68.357620239257813</v>
      </c>
      <c r="U2" s="33">
        <v>84.367813110351563</v>
      </c>
      <c r="V2" s="33">
        <v>81.001350402832031</v>
      </c>
      <c r="W2" s="33">
        <v>70.700637817382813</v>
      </c>
      <c r="X2" s="33">
        <v>71.205184936523438</v>
      </c>
      <c r="Y2" s="33">
        <v>68.587898254394531</v>
      </c>
      <c r="Z2" s="33">
        <v>66.540557861328125</v>
      </c>
      <c r="AA2" s="33">
        <v>85.768646240234375</v>
      </c>
      <c r="AB2" s="13" t="str">
        <f>"NRA*"</f>
        <v>NRA*</v>
      </c>
      <c r="AC2" s="33">
        <v>31.990171432495117</v>
      </c>
      <c r="AD2" s="33">
        <v>30.879829406738281</v>
      </c>
      <c r="AE2" s="33"/>
      <c r="AF2" s="33" cm="1">
        <f t="array" ref="AF2">INDEX(aliance_indicator_data!$A$2:$AD$22,(ROW()-ROW(aliance_indicator_data!$A$1:$AD$1)),MATCH(selected_indic_name_unadj,aliance_indicator_data!$A$1:$AD$1,0))</f>
        <v>44.980587005615234</v>
      </c>
      <c r="AG2" s="33">
        <f>RANK(AF2,AF:AF,1)+COUNTIF($AF$2:AF2,AF2)-1</f>
        <v>4</v>
      </c>
      <c r="AH2" s="54" t="str" cm="1">
        <f t="array" ref="AH2">INDEX(aliance_indicator_data!$A$2:$AD$22,(ROW()-ROW(aliance_indicator_data!$A$1:$AD$1)),MATCH(selected_indic_name_adj,aliance_indicator_data!$A$1:$AD$1,0))</f>
        <v>NRA*</v>
      </c>
      <c r="AI2" s="55" t="str">
        <f>IF(AH2="NRA*","NRA*",RANK(AH2,AH:AH,1)+COUNTIF($AH$2:AH2,AH2)-1)</f>
        <v>NRA*</v>
      </c>
    </row>
    <row r="3" spans="1:35" x14ac:dyDescent="0.25">
      <c r="A3" t="s">
        <v>21</v>
      </c>
      <c r="B3" t="s">
        <v>19</v>
      </c>
      <c r="C3" t="s">
        <v>20</v>
      </c>
      <c r="D3" s="2">
        <v>2243</v>
      </c>
      <c r="E3" s="2">
        <v>2020</v>
      </c>
      <c r="F3" s="2">
        <v>183</v>
      </c>
      <c r="G3" s="2">
        <v>341</v>
      </c>
      <c r="H3" s="2">
        <v>388</v>
      </c>
      <c r="I3" s="2">
        <v>355</v>
      </c>
      <c r="J3" s="2">
        <v>156</v>
      </c>
      <c r="K3" s="4">
        <v>49.008644104003906</v>
      </c>
      <c r="L3" s="2" t="str">
        <f t="shared" ref="L3:L22" si="0">"NRA*"</f>
        <v>NRA*</v>
      </c>
      <c r="M3" s="4">
        <v>52.123142242431641</v>
      </c>
      <c r="N3" s="2" t="str">
        <f t="shared" ref="N3:N22" si="1">"NRA*"</f>
        <v>NRA*</v>
      </c>
      <c r="O3" s="4">
        <v>87.390029907226563</v>
      </c>
      <c r="P3" s="2" t="str">
        <f t="shared" ref="P3:P22" si="2">"NRA*"</f>
        <v>NRA*</v>
      </c>
      <c r="Q3" s="4">
        <v>19.900989532470703</v>
      </c>
      <c r="R3" s="4">
        <v>20.207775115966797</v>
      </c>
      <c r="S3" s="4">
        <v>72.131149291992188</v>
      </c>
      <c r="T3" s="4">
        <v>70.848236083984375</v>
      </c>
      <c r="U3" s="4">
        <v>81.44329833984375</v>
      </c>
      <c r="V3" s="4">
        <v>79.288108825683594</v>
      </c>
      <c r="W3" s="4">
        <v>62.820514678955078</v>
      </c>
      <c r="X3" s="4">
        <v>61.011505126953125</v>
      </c>
      <c r="Y3" s="4">
        <v>52.957744598388672</v>
      </c>
      <c r="Z3" s="4">
        <v>53.515693664550781</v>
      </c>
      <c r="AA3" s="4">
        <v>84.090911865234375</v>
      </c>
      <c r="AB3" s="2" t="str">
        <f t="shared" ref="AB3:AB22" si="3">"NRA*"</f>
        <v>NRA*</v>
      </c>
      <c r="AC3" s="4">
        <v>34.160648345947266</v>
      </c>
      <c r="AD3" s="4">
        <v>32.465473175048828</v>
      </c>
      <c r="AE3" s="4"/>
      <c r="AF3" s="4" cm="1">
        <f t="array" ref="AF3">INDEX(aliance_indicator_data!$A$2:$AD$22,(ROW()-ROW(aliance_indicator_data!$A$1:$AD$1)),MATCH(selected_indic_name_unadj,aliance_indicator_data!$A$1:$AD$1,0))</f>
        <v>49.008644104003906</v>
      </c>
      <c r="AG3" s="4">
        <f>RANK(AF3,AF:AF,1)+COUNTIF($AF$2:AF3,AF3)-1</f>
        <v>17</v>
      </c>
      <c r="AH3" s="48" t="str" cm="1">
        <f t="array" ref="AH3">INDEX(aliance_indicator_data!$A$2:$AD$22,(ROW()-ROW(aliance_indicator_data!$A$1:$AD$1)),MATCH(selected_indic_name_adj,aliance_indicator_data!$A$1:$AD$1,0))</f>
        <v>NRA*</v>
      </c>
      <c r="AI3" s="49" t="str">
        <f>IF(AH3="NRA*","NRA*",RANK(AH3,AH:AH,1)+COUNTIF($AH$2:AH3,AH3)-1)</f>
        <v>NRA*</v>
      </c>
    </row>
    <row r="4" spans="1:35" x14ac:dyDescent="0.25">
      <c r="A4" s="10" t="s">
        <v>24</v>
      </c>
      <c r="B4" s="10" t="s">
        <v>22</v>
      </c>
      <c r="C4" s="10" t="s">
        <v>23</v>
      </c>
      <c r="D4" s="14">
        <v>1850</v>
      </c>
      <c r="E4" s="14">
        <v>1686</v>
      </c>
      <c r="F4" s="14">
        <v>131</v>
      </c>
      <c r="G4" s="14">
        <v>260</v>
      </c>
      <c r="H4" s="14">
        <v>307</v>
      </c>
      <c r="I4" s="14">
        <v>398</v>
      </c>
      <c r="J4" s="14">
        <v>119</v>
      </c>
      <c r="K4" s="34">
        <v>50.572517395019531</v>
      </c>
      <c r="L4" s="14" t="str">
        <f t="shared" si="0"/>
        <v>NRA*</v>
      </c>
      <c r="M4" s="34">
        <v>58.241756439208984</v>
      </c>
      <c r="N4" s="14" t="str">
        <f t="shared" si="1"/>
        <v>NRA*</v>
      </c>
      <c r="O4" s="34">
        <v>80.384613037109375</v>
      </c>
      <c r="P4" s="14" t="str">
        <f t="shared" si="2"/>
        <v>NRA*</v>
      </c>
      <c r="Q4" s="34">
        <v>17.437723159790039</v>
      </c>
      <c r="R4" s="34">
        <v>20.942272186279297</v>
      </c>
      <c r="S4" s="34">
        <v>69.465652465820313</v>
      </c>
      <c r="T4" s="34">
        <v>63.734672546386719</v>
      </c>
      <c r="U4" s="34">
        <v>78.175895690917969</v>
      </c>
      <c r="V4" s="34">
        <v>80.650413513183594</v>
      </c>
      <c r="W4" s="34">
        <v>58.823528289794922</v>
      </c>
      <c r="X4" s="34">
        <v>59.452190399169922</v>
      </c>
      <c r="Y4" s="34">
        <v>59.547737121582031</v>
      </c>
      <c r="Z4" s="34">
        <v>61.497608184814453</v>
      </c>
      <c r="AA4" s="34">
        <v>77.745384216308594</v>
      </c>
      <c r="AB4" s="14" t="str">
        <f t="shared" si="3"/>
        <v>NRA*</v>
      </c>
      <c r="AC4" s="34">
        <v>33.733623504638672</v>
      </c>
      <c r="AD4" s="34">
        <v>32.730510711669922</v>
      </c>
      <c r="AE4" s="34"/>
      <c r="AF4" s="34" cm="1">
        <f t="array" ref="AF4">INDEX(aliance_indicator_data!$A$2:$AD$22,(ROW()-ROW(aliance_indicator_data!$A$1:$AD$1)),MATCH(selected_indic_name_unadj,aliance_indicator_data!$A$1:$AD$1,0))</f>
        <v>50.572517395019531</v>
      </c>
      <c r="AG4" s="34">
        <f>RANK(AF4,AF:AF,1)+COUNTIF($AF$2:AF4,AF4)-1</f>
        <v>19</v>
      </c>
      <c r="AH4" s="56" t="str" cm="1">
        <f t="array" ref="AH4">INDEX(aliance_indicator_data!$A$2:$AD$22,(ROW()-ROW(aliance_indicator_data!$A$1:$AD$1)),MATCH(selected_indic_name_adj,aliance_indicator_data!$A$1:$AD$1,0))</f>
        <v>NRA*</v>
      </c>
      <c r="AI4" s="57" t="str">
        <f>IF(AH4="NRA*","NRA*",RANK(AH4,AH:AH,1)+COUNTIF($AH$2:AH4,AH4)-1)</f>
        <v>NRA*</v>
      </c>
    </row>
    <row r="5" spans="1:35" x14ac:dyDescent="0.25">
      <c r="A5" t="s">
        <v>27</v>
      </c>
      <c r="B5" t="s">
        <v>25</v>
      </c>
      <c r="C5" t="s">
        <v>26</v>
      </c>
      <c r="D5" s="2">
        <v>1566</v>
      </c>
      <c r="E5" s="2">
        <v>1427</v>
      </c>
      <c r="F5" s="2">
        <v>110</v>
      </c>
      <c r="G5" s="2">
        <v>191</v>
      </c>
      <c r="H5" s="2">
        <v>251</v>
      </c>
      <c r="I5" s="2">
        <v>284</v>
      </c>
      <c r="J5" s="2">
        <v>58</v>
      </c>
      <c r="K5" s="4">
        <v>53.692760467529297</v>
      </c>
      <c r="L5" s="2" t="str">
        <f t="shared" si="0"/>
        <v>NRA*</v>
      </c>
      <c r="M5" s="4">
        <v>51.794452667236328</v>
      </c>
      <c r="N5" s="2" t="str">
        <f t="shared" si="1"/>
        <v>NRA*</v>
      </c>
      <c r="O5" s="4">
        <v>92.146598815917969</v>
      </c>
      <c r="P5" s="2" t="str">
        <f t="shared" si="2"/>
        <v>NRA*</v>
      </c>
      <c r="Q5" s="4">
        <v>15.977575302124023</v>
      </c>
      <c r="R5" s="4">
        <v>18.802749633789063</v>
      </c>
      <c r="S5" s="4">
        <v>71.818183898925781</v>
      </c>
      <c r="T5" s="4">
        <v>73.132553100585938</v>
      </c>
      <c r="U5" s="4">
        <v>80.876495361328125</v>
      </c>
      <c r="V5" s="4">
        <v>79.737930297851563</v>
      </c>
      <c r="W5" s="4">
        <v>58.620689392089844</v>
      </c>
      <c r="X5" s="4">
        <v>73.023208618164063</v>
      </c>
      <c r="Y5" s="4">
        <v>59.507041931152344</v>
      </c>
      <c r="Z5" s="4">
        <v>59.750446319580078</v>
      </c>
      <c r="AA5" s="4">
        <v>94.50897216796875</v>
      </c>
      <c r="AB5" s="2" t="str">
        <f t="shared" si="3"/>
        <v>NRA*</v>
      </c>
      <c r="AC5" s="4">
        <v>35.644210815429688</v>
      </c>
      <c r="AD5" s="4">
        <v>33.310810089111328</v>
      </c>
      <c r="AE5" s="4"/>
      <c r="AF5" s="4" cm="1">
        <f t="array" ref="AF5">INDEX(aliance_indicator_data!$A$2:$AD$22,(ROW()-ROW(aliance_indicator_data!$A$1:$AD$1)),MATCH(selected_indic_name_unadj,aliance_indicator_data!$A$1:$AD$1,0))</f>
        <v>53.692760467529297</v>
      </c>
      <c r="AG5" s="4">
        <f>RANK(AF5,AF:AF,1)+COUNTIF($AF$2:AF5,AF5)-1</f>
        <v>21</v>
      </c>
      <c r="AH5" s="48" t="str" cm="1">
        <f t="array" ref="AH5">INDEX(aliance_indicator_data!$A$2:$AD$22,(ROW()-ROW(aliance_indicator_data!$A$1:$AD$1)),MATCH(selected_indic_name_adj,aliance_indicator_data!$A$1:$AD$1,0))</f>
        <v>NRA*</v>
      </c>
      <c r="AI5" s="49" t="str">
        <f>IF(AH5="NRA*","NRA*",RANK(AH5,AH:AH,1)+COUNTIF($AH$2:AH5,AH5)-1)</f>
        <v>NRA*</v>
      </c>
    </row>
    <row r="6" spans="1:35" x14ac:dyDescent="0.25">
      <c r="A6" s="10" t="s">
        <v>30</v>
      </c>
      <c r="B6" s="10" t="s">
        <v>28</v>
      </c>
      <c r="C6" s="10" t="s">
        <v>29</v>
      </c>
      <c r="D6" s="14">
        <v>2264</v>
      </c>
      <c r="E6" s="14">
        <v>2043</v>
      </c>
      <c r="F6" s="14">
        <v>187</v>
      </c>
      <c r="G6" s="14">
        <v>357</v>
      </c>
      <c r="H6" s="14">
        <v>471</v>
      </c>
      <c r="I6" s="14">
        <v>315</v>
      </c>
      <c r="J6" s="14">
        <v>155</v>
      </c>
      <c r="K6" s="34">
        <v>42.907623291015625</v>
      </c>
      <c r="L6" s="14" t="str">
        <f t="shared" si="0"/>
        <v>NRA*</v>
      </c>
      <c r="M6" s="34">
        <v>46.592555999755859</v>
      </c>
      <c r="N6" s="14" t="str">
        <f t="shared" si="1"/>
        <v>NRA*</v>
      </c>
      <c r="O6" s="34">
        <v>80.672271728515625</v>
      </c>
      <c r="P6" s="14" t="str">
        <f t="shared" si="2"/>
        <v>NRA*</v>
      </c>
      <c r="Q6" s="34">
        <v>15.075868606567383</v>
      </c>
      <c r="R6" s="34">
        <v>15.144495964050293</v>
      </c>
      <c r="S6" s="34">
        <v>68.449195861816406</v>
      </c>
      <c r="T6" s="34">
        <v>67.808387756347656</v>
      </c>
      <c r="U6" s="34">
        <v>83.014862060546875</v>
      </c>
      <c r="V6" s="34">
        <v>83.097572326660156</v>
      </c>
      <c r="W6" s="34">
        <v>77.419357299804688</v>
      </c>
      <c r="X6" s="34">
        <v>77.366622924804688</v>
      </c>
      <c r="Y6" s="34">
        <v>59.682540893554688</v>
      </c>
      <c r="Z6" s="34">
        <v>58.520034790039063</v>
      </c>
      <c r="AA6" s="34">
        <v>97.505195617675781</v>
      </c>
      <c r="AB6" s="14" t="str">
        <f t="shared" si="3"/>
        <v>NRA*</v>
      </c>
      <c r="AC6" s="34">
        <v>32.727272033691406</v>
      </c>
      <c r="AD6" s="34">
        <v>31.231172561645508</v>
      </c>
      <c r="AE6" s="34"/>
      <c r="AF6" s="34" cm="1">
        <f t="array" ref="AF6">INDEX(aliance_indicator_data!$A$2:$AD$22,(ROW()-ROW(aliance_indicator_data!$A$1:$AD$1)),MATCH(selected_indic_name_unadj,aliance_indicator_data!$A$1:$AD$1,0))</f>
        <v>42.907623291015625</v>
      </c>
      <c r="AG6" s="34">
        <f>RANK(AF6,AF:AF,1)+COUNTIF($AF$2:AF6,AF6)-1</f>
        <v>2</v>
      </c>
      <c r="AH6" s="56" t="str" cm="1">
        <f t="array" ref="AH6">INDEX(aliance_indicator_data!$A$2:$AD$22,(ROW()-ROW(aliance_indicator_data!$A$1:$AD$1)),MATCH(selected_indic_name_adj,aliance_indicator_data!$A$1:$AD$1,0))</f>
        <v>NRA*</v>
      </c>
      <c r="AI6" s="57" t="str">
        <f>IF(AH6="NRA*","NRA*",RANK(AH6,AH:AH,1)+COUNTIF($AH$2:AH6,AH6)-1)</f>
        <v>NRA*</v>
      </c>
    </row>
    <row r="7" spans="1:35" x14ac:dyDescent="0.25">
      <c r="A7" t="s">
        <v>33</v>
      </c>
      <c r="B7" t="s">
        <v>31</v>
      </c>
      <c r="C7" t="s">
        <v>32</v>
      </c>
      <c r="D7" s="2">
        <v>1151</v>
      </c>
      <c r="E7" s="2">
        <v>1066</v>
      </c>
      <c r="F7" s="2">
        <v>78</v>
      </c>
      <c r="G7" s="2">
        <v>202</v>
      </c>
      <c r="H7" s="2">
        <v>248</v>
      </c>
      <c r="I7" s="2">
        <v>199</v>
      </c>
      <c r="J7" s="2">
        <v>87</v>
      </c>
      <c r="K7" s="4">
        <v>45.291900634765625</v>
      </c>
      <c r="L7" s="2" t="str">
        <f t="shared" si="0"/>
        <v>NRA*</v>
      </c>
      <c r="M7" s="4">
        <v>53.125</v>
      </c>
      <c r="N7" s="2" t="str">
        <f t="shared" si="1"/>
        <v>NRA*</v>
      </c>
      <c r="O7" s="4">
        <v>69.306930541992188</v>
      </c>
      <c r="P7" s="2" t="str">
        <f t="shared" si="2"/>
        <v>NRA*</v>
      </c>
      <c r="Q7" s="4">
        <v>13.789868354797363</v>
      </c>
      <c r="R7" s="4">
        <v>14.365153312683105</v>
      </c>
      <c r="S7" s="4">
        <v>57.692306518554688</v>
      </c>
      <c r="T7" s="4">
        <v>58.893779754638672</v>
      </c>
      <c r="U7" s="4">
        <v>79.838706970214844</v>
      </c>
      <c r="V7" s="4">
        <v>84.697029113769531</v>
      </c>
      <c r="W7" s="4">
        <v>52.873561859130859</v>
      </c>
      <c r="X7" s="4">
        <v>51.675445556640625</v>
      </c>
      <c r="Y7" s="4">
        <v>50.251255035400391</v>
      </c>
      <c r="Z7" s="4">
        <v>50.895885467529297</v>
      </c>
      <c r="AA7" s="4">
        <v>91.253646850585938</v>
      </c>
      <c r="AB7" s="2" t="str">
        <f t="shared" si="3"/>
        <v>NRA*</v>
      </c>
      <c r="AC7" s="4">
        <v>41.406944274902344</v>
      </c>
      <c r="AD7" s="4">
        <v>40.324321746826172</v>
      </c>
      <c r="AE7" s="4"/>
      <c r="AF7" s="4" cm="1">
        <f t="array" ref="AF7">INDEX(aliance_indicator_data!$A$2:$AD$22,(ROW()-ROW(aliance_indicator_data!$A$1:$AD$1)),MATCH(selected_indic_name_unadj,aliance_indicator_data!$A$1:$AD$1,0))</f>
        <v>45.291900634765625</v>
      </c>
      <c r="AG7" s="4">
        <f>RANK(AF7,AF:AF,1)+COUNTIF($AF$2:AF7,AF7)-1</f>
        <v>5</v>
      </c>
      <c r="AH7" s="48" t="str" cm="1">
        <f t="array" ref="AH7">INDEX(aliance_indicator_data!$A$2:$AD$22,(ROW()-ROW(aliance_indicator_data!$A$1:$AD$1)),MATCH(selected_indic_name_adj,aliance_indicator_data!$A$1:$AD$1,0))</f>
        <v>NRA*</v>
      </c>
      <c r="AI7" s="49" t="str">
        <f>IF(AH7="NRA*","NRA*",RANK(AH7,AH:AH,1)+COUNTIF($AH$2:AH7,AH7)-1)</f>
        <v>NRA*</v>
      </c>
    </row>
    <row r="8" spans="1:35" x14ac:dyDescent="0.25">
      <c r="A8" s="10" t="s">
        <v>36</v>
      </c>
      <c r="B8" s="10" t="s">
        <v>34</v>
      </c>
      <c r="C8" s="10" t="s">
        <v>35</v>
      </c>
      <c r="D8" s="14">
        <v>1100</v>
      </c>
      <c r="E8" s="14">
        <v>1013</v>
      </c>
      <c r="F8" s="14">
        <v>76</v>
      </c>
      <c r="G8" s="14">
        <v>128</v>
      </c>
      <c r="H8" s="14">
        <v>156</v>
      </c>
      <c r="I8" s="14">
        <v>190</v>
      </c>
      <c r="J8" s="14">
        <v>79</v>
      </c>
      <c r="K8" s="34">
        <v>48.224514007568359</v>
      </c>
      <c r="L8" s="14" t="str">
        <f t="shared" si="0"/>
        <v>NRA*</v>
      </c>
      <c r="M8" s="34">
        <v>52.780929565429688</v>
      </c>
      <c r="N8" s="14" t="str">
        <f t="shared" si="1"/>
        <v>NRA*</v>
      </c>
      <c r="O8" s="34">
        <v>85.15625</v>
      </c>
      <c r="P8" s="14" t="str">
        <f t="shared" si="2"/>
        <v>NRA*</v>
      </c>
      <c r="Q8" s="34">
        <v>16.189535140991211</v>
      </c>
      <c r="R8" s="34">
        <v>19.628311157226563</v>
      </c>
      <c r="S8" s="34">
        <v>59.210525512695313</v>
      </c>
      <c r="T8" s="34">
        <v>58.799110412597656</v>
      </c>
      <c r="U8" s="34">
        <v>77.564102172851563</v>
      </c>
      <c r="V8" s="34">
        <v>77.385017395019531</v>
      </c>
      <c r="W8" s="34">
        <v>63.2911376953125</v>
      </c>
      <c r="X8" s="34">
        <v>59.761310577392578</v>
      </c>
      <c r="Y8" s="34">
        <v>58.421051025390625</v>
      </c>
      <c r="Z8" s="34">
        <v>59.882083892822266</v>
      </c>
      <c r="AA8" s="34">
        <v>95.774650573730469</v>
      </c>
      <c r="AB8" s="14" t="str">
        <f t="shared" si="3"/>
        <v>NRA*</v>
      </c>
      <c r="AC8" s="34">
        <v>36.04541015625</v>
      </c>
      <c r="AD8" s="34">
        <v>34.334861755371094</v>
      </c>
      <c r="AE8" s="34"/>
      <c r="AF8" s="34" cm="1">
        <f t="array" ref="AF8">INDEX(aliance_indicator_data!$A$2:$AD$22,(ROW()-ROW(aliance_indicator_data!$A$1:$AD$1)),MATCH(selected_indic_name_unadj,aliance_indicator_data!$A$1:$AD$1,0))</f>
        <v>48.224514007568359</v>
      </c>
      <c r="AG8" s="34">
        <f>RANK(AF8,AF:AF,1)+COUNTIF($AF$2:AF8,AF8)-1</f>
        <v>14</v>
      </c>
      <c r="AH8" s="56" t="str" cm="1">
        <f t="array" ref="AH8">INDEX(aliance_indicator_data!$A$2:$AD$22,(ROW()-ROW(aliance_indicator_data!$A$1:$AD$1)),MATCH(selected_indic_name_adj,aliance_indicator_data!$A$1:$AD$1,0))</f>
        <v>NRA*</v>
      </c>
      <c r="AI8" s="57" t="str">
        <f>IF(AH8="NRA*","NRA*",RANK(AH8,AH:AH,1)+COUNTIF($AH$2:AH8,AH8)-1)</f>
        <v>NRA*</v>
      </c>
    </row>
    <row r="9" spans="1:35" x14ac:dyDescent="0.25">
      <c r="A9" t="s">
        <v>39</v>
      </c>
      <c r="B9" t="s">
        <v>37</v>
      </c>
      <c r="C9" t="s">
        <v>38</v>
      </c>
      <c r="D9" s="2">
        <v>1148</v>
      </c>
      <c r="E9" s="2">
        <v>1039</v>
      </c>
      <c r="F9" s="2">
        <v>96</v>
      </c>
      <c r="G9" s="2">
        <v>158</v>
      </c>
      <c r="H9" s="2">
        <v>191</v>
      </c>
      <c r="I9" s="2">
        <v>213</v>
      </c>
      <c r="J9" s="2">
        <v>78</v>
      </c>
      <c r="K9" s="4">
        <v>46.530612945556641</v>
      </c>
      <c r="L9" s="2" t="str">
        <f t="shared" si="0"/>
        <v>NRA*</v>
      </c>
      <c r="M9" s="4">
        <v>55.447681427001953</v>
      </c>
      <c r="N9" s="2" t="str">
        <f t="shared" si="1"/>
        <v>NRA*</v>
      </c>
      <c r="O9" s="4">
        <v>82.278480529785156</v>
      </c>
      <c r="P9" s="2" t="str">
        <f t="shared" si="2"/>
        <v>NRA*</v>
      </c>
      <c r="Q9" s="4">
        <v>16.843118667602539</v>
      </c>
      <c r="R9" s="4">
        <v>18.374317169189453</v>
      </c>
      <c r="S9" s="4">
        <v>78.125</v>
      </c>
      <c r="T9" s="4">
        <v>78.985580444335938</v>
      </c>
      <c r="U9" s="4">
        <v>74.869110107421875</v>
      </c>
      <c r="V9" s="4">
        <v>75.753654479980469</v>
      </c>
      <c r="W9" s="4">
        <v>42.307693481445313</v>
      </c>
      <c r="X9" s="4">
        <v>40.513881683349609</v>
      </c>
      <c r="Y9" s="4">
        <v>68.544601440429688</v>
      </c>
      <c r="Z9" s="4">
        <v>68.768638610839844</v>
      </c>
      <c r="AA9" s="4">
        <v>94.452346801757813</v>
      </c>
      <c r="AB9" s="2" t="str">
        <f t="shared" si="3"/>
        <v>NRA*</v>
      </c>
      <c r="AC9" s="4">
        <v>34.245365142822266</v>
      </c>
      <c r="AD9" s="4">
        <v>32.780384063720703</v>
      </c>
      <c r="AE9" s="4"/>
      <c r="AF9" s="4" cm="1">
        <f t="array" ref="AF9">INDEX(aliance_indicator_data!$A$2:$AD$22,(ROW()-ROW(aliance_indicator_data!$A$1:$AD$1)),MATCH(selected_indic_name_unadj,aliance_indicator_data!$A$1:$AD$1,0))</f>
        <v>46.530612945556641</v>
      </c>
      <c r="AG9" s="4">
        <f>RANK(AF9,AF:AF,1)+COUNTIF($AF$2:AF9,AF9)-1</f>
        <v>8</v>
      </c>
      <c r="AH9" s="48" t="str" cm="1">
        <f t="array" ref="AH9">INDEX(aliance_indicator_data!$A$2:$AD$22,(ROW()-ROW(aliance_indicator_data!$A$1:$AD$1)),MATCH(selected_indic_name_adj,aliance_indicator_data!$A$1:$AD$1,0))</f>
        <v>NRA*</v>
      </c>
      <c r="AI9" s="49" t="str">
        <f>IF(AH9="NRA*","NRA*",RANK(AH9,AH:AH,1)+COUNTIF($AH$2:AH9,AH9)-1)</f>
        <v>NRA*</v>
      </c>
    </row>
    <row r="10" spans="1:35" x14ac:dyDescent="0.25">
      <c r="A10" s="10" t="s">
        <v>42</v>
      </c>
      <c r="B10" s="10" t="s">
        <v>40</v>
      </c>
      <c r="C10" s="10" t="s">
        <v>41</v>
      </c>
      <c r="D10" s="14">
        <v>666</v>
      </c>
      <c r="E10" s="14">
        <v>616</v>
      </c>
      <c r="F10" s="14">
        <v>43</v>
      </c>
      <c r="G10" s="14">
        <v>95</v>
      </c>
      <c r="H10" s="14">
        <v>105</v>
      </c>
      <c r="I10" s="14">
        <v>109</v>
      </c>
      <c r="J10" s="14">
        <v>33</v>
      </c>
      <c r="K10" s="34">
        <v>46.494464874267578</v>
      </c>
      <c r="L10" s="14" t="str">
        <f t="shared" si="0"/>
        <v>NRA*</v>
      </c>
      <c r="M10" s="34">
        <v>63.007160186767578</v>
      </c>
      <c r="N10" s="14" t="str">
        <f t="shared" si="1"/>
        <v>NRA*</v>
      </c>
      <c r="O10" s="34">
        <v>93.684211730957031</v>
      </c>
      <c r="P10" s="14" t="str">
        <f t="shared" si="2"/>
        <v>NRA*</v>
      </c>
      <c r="Q10" s="34">
        <v>29.545454025268555</v>
      </c>
      <c r="R10" s="34">
        <v>24.940231323242188</v>
      </c>
      <c r="S10" s="34">
        <v>86.0465087890625</v>
      </c>
      <c r="T10" s="34">
        <v>87.192237854003906</v>
      </c>
      <c r="U10" s="34">
        <v>93.333335876464844</v>
      </c>
      <c r="V10" s="34">
        <v>87.3477783203125</v>
      </c>
      <c r="W10" s="34">
        <v>75.757575988769531</v>
      </c>
      <c r="X10" s="34">
        <v>72.551895141601563</v>
      </c>
      <c r="Y10" s="34">
        <v>73.394493103027344</v>
      </c>
      <c r="Z10" s="34">
        <v>69.9625244140625</v>
      </c>
      <c r="AA10" s="34">
        <v>94.578315734863281</v>
      </c>
      <c r="AB10" s="14" t="str">
        <f t="shared" si="3"/>
        <v>NRA*</v>
      </c>
      <c r="AC10" s="34">
        <v>37.251907348632813</v>
      </c>
      <c r="AD10" s="34">
        <v>41.154243469238281</v>
      </c>
      <c r="AE10" s="34"/>
      <c r="AF10" s="34" cm="1">
        <f t="array" ref="AF10">INDEX(aliance_indicator_data!$A$2:$AD$22,(ROW()-ROW(aliance_indicator_data!$A$1:$AD$1)),MATCH(selected_indic_name_unadj,aliance_indicator_data!$A$1:$AD$1,0))</f>
        <v>46.494464874267578</v>
      </c>
      <c r="AG10" s="34">
        <f>RANK(AF10,AF:AF,1)+COUNTIF($AF$2:AF10,AF10)-1</f>
        <v>7</v>
      </c>
      <c r="AH10" s="56" t="str" cm="1">
        <f t="array" ref="AH10">INDEX(aliance_indicator_data!$A$2:$AD$22,(ROW()-ROW(aliance_indicator_data!$A$1:$AD$1)),MATCH(selected_indic_name_adj,aliance_indicator_data!$A$1:$AD$1,0))</f>
        <v>NRA*</v>
      </c>
      <c r="AI10" s="57" t="str">
        <f>IF(AH10="NRA*","NRA*",RANK(AH10,AH:AH,1)+COUNTIF($AH$2:AH10,AH10)-1)</f>
        <v>NRA*</v>
      </c>
    </row>
    <row r="11" spans="1:35" x14ac:dyDescent="0.25">
      <c r="A11" t="s">
        <v>45</v>
      </c>
      <c r="B11" t="s">
        <v>43</v>
      </c>
      <c r="C11" t="s">
        <v>44</v>
      </c>
      <c r="D11" s="2">
        <v>807</v>
      </c>
      <c r="E11" s="2">
        <v>738</v>
      </c>
      <c r="F11" s="2">
        <v>48</v>
      </c>
      <c r="G11" s="2">
        <v>113</v>
      </c>
      <c r="H11" s="2">
        <v>120</v>
      </c>
      <c r="I11" s="2">
        <v>116</v>
      </c>
      <c r="J11" s="2">
        <v>36</v>
      </c>
      <c r="K11" s="4">
        <v>44.307270050048828</v>
      </c>
      <c r="L11" s="2" t="str">
        <f t="shared" si="0"/>
        <v>NRA*</v>
      </c>
      <c r="M11" s="4">
        <v>64.625846862792969</v>
      </c>
      <c r="N11" s="2" t="str">
        <f t="shared" si="1"/>
        <v>NRA*</v>
      </c>
      <c r="O11" s="4">
        <v>95.575218200683594</v>
      </c>
      <c r="P11" s="2" t="str">
        <f t="shared" si="2"/>
        <v>NRA*</v>
      </c>
      <c r="Q11" s="4">
        <v>32.249320983886719</v>
      </c>
      <c r="R11" s="4">
        <v>25.436882019042969</v>
      </c>
      <c r="S11" s="4">
        <v>70.833335876464844</v>
      </c>
      <c r="T11" s="4">
        <v>75.976203918457031</v>
      </c>
      <c r="U11" s="4">
        <v>88.333335876464844</v>
      </c>
      <c r="V11" s="4">
        <v>81.556327819824219</v>
      </c>
      <c r="W11" s="4">
        <v>69.444442749023438</v>
      </c>
      <c r="X11" s="4">
        <v>68.848236083984375</v>
      </c>
      <c r="Y11" s="4">
        <v>72.413795471191406</v>
      </c>
      <c r="Z11" s="4">
        <v>70.475090026855469</v>
      </c>
      <c r="AA11" s="4">
        <v>93.095237731933594</v>
      </c>
      <c r="AB11" s="2" t="str">
        <f t="shared" si="3"/>
        <v>NRA*</v>
      </c>
      <c r="AC11" s="4">
        <v>38.853504180908203</v>
      </c>
      <c r="AD11" s="4">
        <v>41.808815002441406</v>
      </c>
      <c r="AE11" s="4"/>
      <c r="AF11" s="4" cm="1">
        <f t="array" ref="AF11">INDEX(aliance_indicator_data!$A$2:$AD$22,(ROW()-ROW(aliance_indicator_data!$A$1:$AD$1)),MATCH(selected_indic_name_unadj,aliance_indicator_data!$A$1:$AD$1,0))</f>
        <v>44.307270050048828</v>
      </c>
      <c r="AG11" s="4">
        <f>RANK(AF11,AF:AF,1)+COUNTIF($AF$2:AF11,AF11)-1</f>
        <v>3</v>
      </c>
      <c r="AH11" s="48" t="str" cm="1">
        <f t="array" ref="AH11">INDEX(aliance_indicator_data!$A$2:$AD$22,(ROW()-ROW(aliance_indicator_data!$A$1:$AD$1)),MATCH(selected_indic_name_adj,aliance_indicator_data!$A$1:$AD$1,0))</f>
        <v>NRA*</v>
      </c>
      <c r="AI11" s="49" t="str">
        <f>IF(AH11="NRA*","NRA*",RANK(AH11,AH:AH,1)+COUNTIF($AH$2:AH11,AH11)-1)</f>
        <v>NRA*</v>
      </c>
    </row>
    <row r="12" spans="1:35" x14ac:dyDescent="0.25">
      <c r="A12" s="10" t="s">
        <v>48</v>
      </c>
      <c r="B12" s="10" t="s">
        <v>46</v>
      </c>
      <c r="C12" s="10" t="s">
        <v>47</v>
      </c>
      <c r="D12" s="14">
        <v>2685</v>
      </c>
      <c r="E12" s="14">
        <v>2411</v>
      </c>
      <c r="F12" s="14">
        <v>227</v>
      </c>
      <c r="G12" s="14">
        <v>353</v>
      </c>
      <c r="H12" s="14">
        <v>504</v>
      </c>
      <c r="I12" s="14">
        <v>466</v>
      </c>
      <c r="J12" s="14">
        <v>184</v>
      </c>
      <c r="K12" s="34">
        <v>47.696819305419922</v>
      </c>
      <c r="L12" s="14" t="str">
        <f t="shared" si="0"/>
        <v>NRA*</v>
      </c>
      <c r="M12" s="34">
        <v>47.905982971191406</v>
      </c>
      <c r="N12" s="14" t="str">
        <f t="shared" si="1"/>
        <v>NRA*</v>
      </c>
      <c r="O12" s="34">
        <v>83.286117553710938</v>
      </c>
      <c r="P12" s="14" t="str">
        <f t="shared" si="2"/>
        <v>NRA*</v>
      </c>
      <c r="Q12" s="34">
        <v>10.618000984191895</v>
      </c>
      <c r="R12" s="34">
        <v>12.270565986633301</v>
      </c>
      <c r="S12" s="34">
        <v>77.97357177734375</v>
      </c>
      <c r="T12" s="34">
        <v>77.605438232421875</v>
      </c>
      <c r="U12" s="34">
        <v>80.555557250976563</v>
      </c>
      <c r="V12" s="34">
        <v>83.777236938476563</v>
      </c>
      <c r="W12" s="34">
        <v>65.217391967773438</v>
      </c>
      <c r="X12" s="34">
        <v>66.051231384277344</v>
      </c>
      <c r="Y12" s="34">
        <v>61.587982177734375</v>
      </c>
      <c r="Z12" s="34">
        <v>61.402889251708984</v>
      </c>
      <c r="AA12" s="34">
        <v>97.051742553710938</v>
      </c>
      <c r="AB12" s="14" t="str">
        <f t="shared" si="3"/>
        <v>NRA*</v>
      </c>
      <c r="AC12" s="34">
        <v>36.280487060546875</v>
      </c>
      <c r="AD12" s="34">
        <v>35.587772369384766</v>
      </c>
      <c r="AE12" s="34"/>
      <c r="AF12" s="34" cm="1">
        <f t="array" ref="AF12">INDEX(aliance_indicator_data!$A$2:$AD$22,(ROW()-ROW(aliance_indicator_data!$A$1:$AD$1)),MATCH(selected_indic_name_unadj,aliance_indicator_data!$A$1:$AD$1,0))</f>
        <v>47.696819305419922</v>
      </c>
      <c r="AG12" s="34">
        <f>RANK(AF12,AF:AF,1)+COUNTIF($AF$2:AF12,AF12)-1</f>
        <v>12</v>
      </c>
      <c r="AH12" s="56" t="str" cm="1">
        <f t="array" ref="AH12">INDEX(aliance_indicator_data!$A$2:$AD$22,(ROW()-ROW(aliance_indicator_data!$A$1:$AD$1)),MATCH(selected_indic_name_adj,aliance_indicator_data!$A$1:$AD$1,0))</f>
        <v>NRA*</v>
      </c>
      <c r="AI12" s="57" t="str">
        <f>IF(AH12="NRA*","NRA*",RANK(AH12,AH:AH,1)+COUNTIF($AH$2:AH12,AH12)-1)</f>
        <v>NRA*</v>
      </c>
    </row>
    <row r="13" spans="1:35" x14ac:dyDescent="0.25">
      <c r="A13" t="s">
        <v>51</v>
      </c>
      <c r="B13" t="s">
        <v>49</v>
      </c>
      <c r="C13" t="s">
        <v>50</v>
      </c>
      <c r="D13" s="2">
        <v>1191</v>
      </c>
      <c r="E13" s="2">
        <v>1105</v>
      </c>
      <c r="F13" s="2">
        <v>72</v>
      </c>
      <c r="G13" s="2">
        <v>173</v>
      </c>
      <c r="H13" s="2">
        <v>213</v>
      </c>
      <c r="I13" s="2">
        <v>178</v>
      </c>
      <c r="J13" s="2">
        <v>61</v>
      </c>
      <c r="K13" s="4">
        <v>47.362636566162109</v>
      </c>
      <c r="L13" s="2" t="str">
        <f t="shared" si="0"/>
        <v>NRA*</v>
      </c>
      <c r="M13" s="4">
        <v>52.561248779296875</v>
      </c>
      <c r="N13" s="2" t="str">
        <f t="shared" si="1"/>
        <v>NRA*</v>
      </c>
      <c r="O13" s="4">
        <v>71.676300048828125</v>
      </c>
      <c r="P13" s="2" t="str">
        <f t="shared" si="2"/>
        <v>NRA*</v>
      </c>
      <c r="Q13" s="4">
        <v>11.764705657958984</v>
      </c>
      <c r="R13" s="4">
        <v>13.679045677185059</v>
      </c>
      <c r="S13" s="4">
        <v>75</v>
      </c>
      <c r="T13" s="4">
        <v>76.286857604980469</v>
      </c>
      <c r="U13" s="4">
        <v>68.544601440429688</v>
      </c>
      <c r="V13" s="4">
        <v>72.381263732910156</v>
      </c>
      <c r="W13" s="4">
        <v>50.819671630859375</v>
      </c>
      <c r="X13" s="4">
        <v>48.342037200927734</v>
      </c>
      <c r="Y13" s="4">
        <v>66.292137145996094</v>
      </c>
      <c r="Z13" s="4">
        <v>65.596199035644531</v>
      </c>
      <c r="AA13" s="4">
        <v>94.949493408203125</v>
      </c>
      <c r="AB13" s="2" t="str">
        <f t="shared" si="3"/>
        <v>NRA*</v>
      </c>
      <c r="AC13" s="4">
        <v>32</v>
      </c>
      <c r="AD13" s="4">
        <v>30.500249862670898</v>
      </c>
      <c r="AE13" s="4"/>
      <c r="AF13" s="4" cm="1">
        <f t="array" ref="AF13">INDEX(aliance_indicator_data!$A$2:$AD$22,(ROW()-ROW(aliance_indicator_data!$A$1:$AD$1)),MATCH(selected_indic_name_unadj,aliance_indicator_data!$A$1:$AD$1,0))</f>
        <v>47.362636566162109</v>
      </c>
      <c r="AG13" s="4">
        <f>RANK(AF13,AF:AF,1)+COUNTIF($AF$2:AF13,AF13)-1</f>
        <v>10</v>
      </c>
      <c r="AH13" s="48" t="str" cm="1">
        <f t="array" ref="AH13">INDEX(aliance_indicator_data!$A$2:$AD$22,(ROW()-ROW(aliance_indicator_data!$A$1:$AD$1)),MATCH(selected_indic_name_adj,aliance_indicator_data!$A$1:$AD$1,0))</f>
        <v>NRA*</v>
      </c>
      <c r="AI13" s="49" t="str">
        <f>IF(AH13="NRA*","NRA*",RANK(AH13,AH:AH,1)+COUNTIF($AH$2:AH13,AH13)-1)</f>
        <v>NRA*</v>
      </c>
    </row>
    <row r="14" spans="1:35" x14ac:dyDescent="0.25">
      <c r="A14" s="10" t="s">
        <v>512</v>
      </c>
      <c r="B14" s="10" t="s">
        <v>70</v>
      </c>
      <c r="C14" s="10" t="s">
        <v>71</v>
      </c>
      <c r="D14" s="14">
        <v>1449</v>
      </c>
      <c r="E14" s="14">
        <v>1346</v>
      </c>
      <c r="F14" s="14">
        <v>88</v>
      </c>
      <c r="G14" s="14">
        <v>200</v>
      </c>
      <c r="H14" s="14">
        <v>223</v>
      </c>
      <c r="I14" s="14">
        <v>294</v>
      </c>
      <c r="J14" s="14">
        <v>100</v>
      </c>
      <c r="K14" s="34">
        <v>48.381877899169922</v>
      </c>
      <c r="L14" s="14" t="str">
        <f t="shared" si="0"/>
        <v>NRA*</v>
      </c>
      <c r="M14" s="34">
        <v>59.925788879394531</v>
      </c>
      <c r="N14" s="14" t="str">
        <f t="shared" si="1"/>
        <v>NRA*</v>
      </c>
      <c r="O14" s="34">
        <v>91.5</v>
      </c>
      <c r="P14" s="14" t="str">
        <f t="shared" si="2"/>
        <v>NRA*</v>
      </c>
      <c r="Q14" s="34">
        <v>19.985141754150391</v>
      </c>
      <c r="R14" s="34">
        <v>18.818305969238281</v>
      </c>
      <c r="S14" s="34">
        <v>68.181816101074219</v>
      </c>
      <c r="T14" s="34">
        <v>64.671234130859375</v>
      </c>
      <c r="U14" s="34">
        <v>78.92376708984375</v>
      </c>
      <c r="V14" s="34">
        <v>76.114990234375</v>
      </c>
      <c r="W14" s="34">
        <v>65</v>
      </c>
      <c r="X14" s="34">
        <v>63.477813720703125</v>
      </c>
      <c r="Y14" s="34">
        <v>67.006805419921875</v>
      </c>
      <c r="Z14" s="34">
        <v>68.223457336425781</v>
      </c>
      <c r="AA14" s="34">
        <v>96.511627197265625</v>
      </c>
      <c r="AB14" s="14" t="str">
        <f t="shared" si="3"/>
        <v>NRA*</v>
      </c>
      <c r="AC14" s="34">
        <v>43.960674285888672</v>
      </c>
      <c r="AD14" s="34">
        <v>46.126003265380859</v>
      </c>
      <c r="AE14" s="34"/>
      <c r="AF14" s="34" cm="1">
        <f t="array" ref="AF14">INDEX(aliance_indicator_data!$A$2:$AD$22,(ROW()-ROW(aliance_indicator_data!$A$1:$AD$1)),MATCH(selected_indic_name_unadj,aliance_indicator_data!$A$1:$AD$1,0))</f>
        <v>48.381877899169922</v>
      </c>
      <c r="AG14" s="34">
        <f>RANK(AF14,AF:AF,1)+COUNTIF($AF$2:AF14,AF14)-1</f>
        <v>16</v>
      </c>
      <c r="AH14" s="56" t="str" cm="1">
        <f t="array" ref="AH14">INDEX(aliance_indicator_data!$A$2:$AD$22,(ROW()-ROW(aliance_indicator_data!$A$1:$AD$1)),MATCH(selected_indic_name_adj,aliance_indicator_data!$A$1:$AD$1,0))</f>
        <v>NRA*</v>
      </c>
      <c r="AI14" s="57" t="str">
        <f>IF(AH14="NRA*","NRA*",RANK(AH14,AH:AH,1)+COUNTIF($AH$2:AH14,AH14)-1)</f>
        <v>NRA*</v>
      </c>
    </row>
    <row r="15" spans="1:35" x14ac:dyDescent="0.25">
      <c r="A15" t="s">
        <v>54</v>
      </c>
      <c r="B15" t="s">
        <v>52</v>
      </c>
      <c r="C15" t="s">
        <v>53</v>
      </c>
      <c r="D15" s="2">
        <v>1548</v>
      </c>
      <c r="E15" s="2">
        <v>1419</v>
      </c>
      <c r="F15" s="2">
        <v>107</v>
      </c>
      <c r="G15" s="2">
        <v>226</v>
      </c>
      <c r="H15" s="2">
        <v>279</v>
      </c>
      <c r="I15" s="2">
        <v>347</v>
      </c>
      <c r="J15" s="2">
        <v>115</v>
      </c>
      <c r="K15" s="4">
        <v>51.212345123291016</v>
      </c>
      <c r="L15" s="2" t="str">
        <f t="shared" si="0"/>
        <v>NRA*</v>
      </c>
      <c r="M15" s="4">
        <v>54.468086242675781</v>
      </c>
      <c r="N15" s="2" t="str">
        <f t="shared" si="1"/>
        <v>NRA*</v>
      </c>
      <c r="O15" s="4">
        <v>78.761062622070313</v>
      </c>
      <c r="P15" s="2" t="str">
        <f t="shared" si="2"/>
        <v>NRA*</v>
      </c>
      <c r="Q15" s="4">
        <v>14.940098762512207</v>
      </c>
      <c r="R15" s="4">
        <v>16.646595001220703</v>
      </c>
      <c r="S15" s="4">
        <v>66.355140686035156</v>
      </c>
      <c r="T15" s="4">
        <v>69.603675842285156</v>
      </c>
      <c r="U15" s="4">
        <v>74.193550109863281</v>
      </c>
      <c r="V15" s="4">
        <v>75.348548889160156</v>
      </c>
      <c r="W15" s="4">
        <v>47.826087951660156</v>
      </c>
      <c r="X15" s="4">
        <v>53.552860260009766</v>
      </c>
      <c r="Y15" s="4">
        <v>62.247837066650391</v>
      </c>
      <c r="Z15" s="4">
        <v>61.045421600341797</v>
      </c>
      <c r="AA15" s="4">
        <v>94.788276672363281</v>
      </c>
      <c r="AB15" s="2" t="str">
        <f t="shared" si="3"/>
        <v>NRA*</v>
      </c>
      <c r="AC15" s="4">
        <v>34.203479766845703</v>
      </c>
      <c r="AD15" s="4">
        <v>33.9822998046875</v>
      </c>
      <c r="AE15" s="4"/>
      <c r="AF15" s="4" cm="1">
        <f t="array" ref="AF15">INDEX(aliance_indicator_data!$A$2:$AD$22,(ROW()-ROW(aliance_indicator_data!$A$1:$AD$1)),MATCH(selected_indic_name_unadj,aliance_indicator_data!$A$1:$AD$1,0))</f>
        <v>51.212345123291016</v>
      </c>
      <c r="AG15" s="4">
        <f>RANK(AF15,AF:AF,1)+COUNTIF($AF$2:AF15,AF15)-1</f>
        <v>20</v>
      </c>
      <c r="AH15" s="48" t="str" cm="1">
        <f t="array" ref="AH15">INDEX(aliance_indicator_data!$A$2:$AD$22,(ROW()-ROW(aliance_indicator_data!$A$1:$AD$1)),MATCH(selected_indic_name_adj,aliance_indicator_data!$A$1:$AD$1,0))</f>
        <v>NRA*</v>
      </c>
      <c r="AI15" s="49" t="str">
        <f>IF(AH15="NRA*","NRA*",RANK(AH15,AH:AH,1)+COUNTIF($AH$2:AH15,AH15)-1)</f>
        <v>NRA*</v>
      </c>
    </row>
    <row r="16" spans="1:35" x14ac:dyDescent="0.25">
      <c r="A16" s="10" t="s">
        <v>57</v>
      </c>
      <c r="B16" s="10" t="s">
        <v>55</v>
      </c>
      <c r="C16" s="10" t="s">
        <v>56</v>
      </c>
      <c r="D16" s="14">
        <v>945</v>
      </c>
      <c r="E16" s="14">
        <v>899</v>
      </c>
      <c r="F16" s="14">
        <v>40</v>
      </c>
      <c r="G16" s="14">
        <v>147</v>
      </c>
      <c r="H16" s="14">
        <v>178</v>
      </c>
      <c r="I16" s="14">
        <v>169</v>
      </c>
      <c r="J16" s="14">
        <v>49</v>
      </c>
      <c r="K16" s="34">
        <v>48.240470886230469</v>
      </c>
      <c r="L16" s="14" t="str">
        <f t="shared" si="0"/>
        <v>NRA*</v>
      </c>
      <c r="M16" s="34">
        <v>63.422290802001953</v>
      </c>
      <c r="N16" s="14" t="str">
        <f t="shared" si="1"/>
        <v>NRA*</v>
      </c>
      <c r="O16" s="34">
        <v>81.632652282714844</v>
      </c>
      <c r="P16" s="14" t="str">
        <f t="shared" si="2"/>
        <v>NRA*</v>
      </c>
      <c r="Q16" s="34">
        <v>27.919910430908203</v>
      </c>
      <c r="R16" s="34">
        <v>30.131839752197266</v>
      </c>
      <c r="S16" s="34">
        <v>72.5</v>
      </c>
      <c r="T16" s="34">
        <v>78.250213623046875</v>
      </c>
      <c r="U16" s="34">
        <v>76.404495239257813</v>
      </c>
      <c r="V16" s="34">
        <v>75.646514892578125</v>
      </c>
      <c r="W16" s="34">
        <v>44.897960662841797</v>
      </c>
      <c r="X16" s="34">
        <v>45.087059020996094</v>
      </c>
      <c r="Y16" s="34">
        <v>69.230766296386719</v>
      </c>
      <c r="Z16" s="34">
        <v>67.557723999023438</v>
      </c>
      <c r="AA16" s="34">
        <v>98.101264953613281</v>
      </c>
      <c r="AB16" s="14" t="str">
        <f t="shared" si="3"/>
        <v>NRA*</v>
      </c>
      <c r="AC16" s="34">
        <v>30.182600021362305</v>
      </c>
      <c r="AD16" s="34">
        <v>28.979375839233398</v>
      </c>
      <c r="AE16" s="34"/>
      <c r="AF16" s="34" cm="1">
        <f t="array" ref="AF16">INDEX(aliance_indicator_data!$A$2:$AD$22,(ROW()-ROW(aliance_indicator_data!$A$1:$AD$1)),MATCH(selected_indic_name_unadj,aliance_indicator_data!$A$1:$AD$1,0))</f>
        <v>48.240470886230469</v>
      </c>
      <c r="AG16" s="34">
        <f>RANK(AF16,AF:AF,1)+COUNTIF($AF$2:AF16,AF16)-1</f>
        <v>15</v>
      </c>
      <c r="AH16" s="56" t="str" cm="1">
        <f t="array" ref="AH16">INDEX(aliance_indicator_data!$A$2:$AD$22,(ROW()-ROW(aliance_indicator_data!$A$1:$AD$1)),MATCH(selected_indic_name_adj,aliance_indicator_data!$A$1:$AD$1,0))</f>
        <v>NRA*</v>
      </c>
      <c r="AI16" s="57" t="str">
        <f>IF(AH16="NRA*","NRA*",RANK(AH16,AH:AH,1)+COUNTIF($AH$2:AH16,AH16)-1)</f>
        <v>NRA*</v>
      </c>
    </row>
    <row r="17" spans="1:35" x14ac:dyDescent="0.25">
      <c r="A17" t="s">
        <v>60</v>
      </c>
      <c r="B17" t="s">
        <v>58</v>
      </c>
      <c r="C17" t="s">
        <v>59</v>
      </c>
      <c r="D17" s="2">
        <v>1411</v>
      </c>
      <c r="E17" s="2">
        <v>1276</v>
      </c>
      <c r="F17" s="2">
        <v>128</v>
      </c>
      <c r="G17" s="2">
        <v>244</v>
      </c>
      <c r="H17" s="2">
        <v>289</v>
      </c>
      <c r="I17" s="2">
        <v>244</v>
      </c>
      <c r="J17" s="2">
        <v>103</v>
      </c>
      <c r="K17" s="4">
        <v>47.188449859619141</v>
      </c>
      <c r="L17" s="2" t="str">
        <f t="shared" si="0"/>
        <v>NRA*</v>
      </c>
      <c r="M17" s="4">
        <v>54.292724609375</v>
      </c>
      <c r="N17" s="2" t="str">
        <f t="shared" si="1"/>
        <v>NRA*</v>
      </c>
      <c r="O17" s="4">
        <v>80.327865600585938</v>
      </c>
      <c r="P17" s="2" t="str">
        <f t="shared" si="2"/>
        <v>NRA*</v>
      </c>
      <c r="Q17" s="4">
        <v>18.025077819824219</v>
      </c>
      <c r="R17" s="4">
        <v>18.201929092407227</v>
      </c>
      <c r="S17" s="4">
        <v>80.46875</v>
      </c>
      <c r="T17" s="4">
        <v>74.868179321289063</v>
      </c>
      <c r="U17" s="4">
        <v>83.737022399902344</v>
      </c>
      <c r="V17" s="4">
        <v>84.472198486328125</v>
      </c>
      <c r="W17" s="4">
        <v>55.339805603027344</v>
      </c>
      <c r="X17" s="4">
        <v>51.403656005859375</v>
      </c>
      <c r="Y17" s="4">
        <v>61.475410461425781</v>
      </c>
      <c r="Z17" s="4">
        <v>61.173381805419922</v>
      </c>
      <c r="AA17" s="4">
        <v>91.620109558105469</v>
      </c>
      <c r="AB17" s="2" t="str">
        <f t="shared" si="3"/>
        <v>NRA*</v>
      </c>
      <c r="AC17" s="4">
        <v>40.451126098632813</v>
      </c>
      <c r="AD17" s="4">
        <v>38.584163665771484</v>
      </c>
      <c r="AE17" s="4"/>
      <c r="AF17" s="4" cm="1">
        <f t="array" ref="AF17">INDEX(aliance_indicator_data!$A$2:$AD$22,(ROW()-ROW(aliance_indicator_data!$A$1:$AD$1)),MATCH(selected_indic_name_unadj,aliance_indicator_data!$A$1:$AD$1,0))</f>
        <v>47.188449859619141</v>
      </c>
      <c r="AG17" s="4">
        <f>RANK(AF17,AF:AF,1)+COUNTIF($AF$2:AF17,AF17)-1</f>
        <v>9</v>
      </c>
      <c r="AH17" s="48" t="str" cm="1">
        <f t="array" ref="AH17">INDEX(aliance_indicator_data!$A$2:$AD$22,(ROW()-ROW(aliance_indicator_data!$A$1:$AD$1)),MATCH(selected_indic_name_adj,aliance_indicator_data!$A$1:$AD$1,0))</f>
        <v>NRA*</v>
      </c>
      <c r="AI17" s="49" t="str">
        <f>IF(AH17="NRA*","NRA*",RANK(AH17,AH:AH,1)+COUNTIF($AH$2:AH17,AH17)-1)</f>
        <v>NRA*</v>
      </c>
    </row>
    <row r="18" spans="1:35" x14ac:dyDescent="0.25">
      <c r="A18" s="10" t="s">
        <v>63</v>
      </c>
      <c r="B18" s="10" t="s">
        <v>61</v>
      </c>
      <c r="C18" s="10" t="s">
        <v>62</v>
      </c>
      <c r="D18" s="14">
        <v>1562</v>
      </c>
      <c r="E18" s="14">
        <v>1434</v>
      </c>
      <c r="F18" s="14">
        <v>105</v>
      </c>
      <c r="G18" s="14">
        <v>245</v>
      </c>
      <c r="H18" s="14">
        <v>283</v>
      </c>
      <c r="I18" s="14">
        <v>356</v>
      </c>
      <c r="J18" s="14">
        <v>153</v>
      </c>
      <c r="K18" s="34">
        <v>48.131866455078125</v>
      </c>
      <c r="L18" s="14" t="str">
        <f t="shared" si="0"/>
        <v>NRA*</v>
      </c>
      <c r="M18" s="34">
        <v>60.667633056640625</v>
      </c>
      <c r="N18" s="14" t="str">
        <f t="shared" si="1"/>
        <v>NRA*</v>
      </c>
      <c r="O18" s="34">
        <v>73.469390869140625</v>
      </c>
      <c r="P18" s="14" t="str">
        <f t="shared" si="2"/>
        <v>NRA*</v>
      </c>
      <c r="Q18" s="34">
        <v>16.945606231689453</v>
      </c>
      <c r="R18" s="34">
        <v>18.739749908447266</v>
      </c>
      <c r="S18" s="34">
        <v>63.809524536132813</v>
      </c>
      <c r="T18" s="34">
        <v>63.517036437988281</v>
      </c>
      <c r="U18" s="34">
        <v>73.144874572753906</v>
      </c>
      <c r="V18" s="34">
        <v>76.469833374023438</v>
      </c>
      <c r="W18" s="34">
        <v>54.901962280273438</v>
      </c>
      <c r="X18" s="34">
        <v>60.473110198974609</v>
      </c>
      <c r="Y18" s="34">
        <v>64.044944763183594</v>
      </c>
      <c r="Z18" s="34">
        <v>66.410041809082031</v>
      </c>
      <c r="AA18" s="34">
        <v>95.629142761230469</v>
      </c>
      <c r="AB18" s="14" t="str">
        <f t="shared" si="3"/>
        <v>NRA*</v>
      </c>
      <c r="AC18" s="34">
        <v>37.533157348632813</v>
      </c>
      <c r="AD18" s="34">
        <v>39.696224212646484</v>
      </c>
      <c r="AE18" s="34"/>
      <c r="AF18" s="34" cm="1">
        <f t="array" ref="AF18">INDEX(aliance_indicator_data!$A$2:$AD$22,(ROW()-ROW(aliance_indicator_data!$A$1:$AD$1)),MATCH(selected_indic_name_unadj,aliance_indicator_data!$A$1:$AD$1,0))</f>
        <v>48.131866455078125</v>
      </c>
      <c r="AG18" s="34">
        <f>RANK(AF18,AF:AF,1)+COUNTIF($AF$2:AF18,AF18)-1</f>
        <v>13</v>
      </c>
      <c r="AH18" s="56" t="str" cm="1">
        <f t="array" ref="AH18">INDEX(aliance_indicator_data!$A$2:$AD$22,(ROW()-ROW(aliance_indicator_data!$A$1:$AD$1)),MATCH(selected_indic_name_adj,aliance_indicator_data!$A$1:$AD$1,0))</f>
        <v>NRA*</v>
      </c>
      <c r="AI18" s="57" t="str">
        <f>IF(AH18="NRA*","NRA*",RANK(AH18,AH:AH,1)+COUNTIF($AH$2:AH18,AH18)-1)</f>
        <v>NRA*</v>
      </c>
    </row>
    <row r="19" spans="1:35" x14ac:dyDescent="0.25">
      <c r="A19" t="s">
        <v>66</v>
      </c>
      <c r="B19" t="s">
        <v>64</v>
      </c>
      <c r="C19" t="s">
        <v>65</v>
      </c>
      <c r="D19" s="2">
        <v>1374</v>
      </c>
      <c r="E19" s="2">
        <v>1255</v>
      </c>
      <c r="F19" s="2">
        <v>96</v>
      </c>
      <c r="G19" s="2">
        <v>212</v>
      </c>
      <c r="H19" s="2">
        <v>262</v>
      </c>
      <c r="I19" s="2">
        <v>273</v>
      </c>
      <c r="J19" s="2">
        <v>100</v>
      </c>
      <c r="K19" s="4">
        <v>47.646102905273438</v>
      </c>
      <c r="L19" s="2" t="str">
        <f t="shared" si="0"/>
        <v>NRA*</v>
      </c>
      <c r="M19" s="4">
        <v>52.230331420898438</v>
      </c>
      <c r="N19" s="2" t="str">
        <f t="shared" si="1"/>
        <v>NRA*</v>
      </c>
      <c r="O19" s="4">
        <v>91.037734985351563</v>
      </c>
      <c r="P19" s="2" t="str">
        <f t="shared" si="2"/>
        <v>NRA*</v>
      </c>
      <c r="Q19" s="4">
        <v>16.494024276733398</v>
      </c>
      <c r="R19" s="4">
        <v>16.279241561889648</v>
      </c>
      <c r="S19" s="4">
        <v>58.333332061767578</v>
      </c>
      <c r="T19" s="4">
        <v>61.954460144042969</v>
      </c>
      <c r="U19" s="4">
        <v>78.244277954101563</v>
      </c>
      <c r="V19" s="4">
        <v>75.4664306640625</v>
      </c>
      <c r="W19" s="4">
        <v>49</v>
      </c>
      <c r="X19" s="4">
        <v>50.1507568359375</v>
      </c>
      <c r="Y19" s="4">
        <v>60.439559936523438</v>
      </c>
      <c r="Z19" s="4">
        <v>57.853305816650391</v>
      </c>
      <c r="AA19" s="4">
        <v>94.068679809570313</v>
      </c>
      <c r="AB19" s="2" t="str">
        <f t="shared" si="3"/>
        <v>NRA*</v>
      </c>
      <c r="AC19" s="4">
        <v>32.621501922607422</v>
      </c>
      <c r="AD19" s="4">
        <v>35.891838073730469</v>
      </c>
      <c r="AE19" s="4"/>
      <c r="AF19" s="4" cm="1">
        <f t="array" ref="AF19">INDEX(aliance_indicator_data!$A$2:$AD$22,(ROW()-ROW(aliance_indicator_data!$A$1:$AD$1)),MATCH(selected_indic_name_unadj,aliance_indicator_data!$A$1:$AD$1,0))</f>
        <v>47.646102905273438</v>
      </c>
      <c r="AG19" s="4">
        <f>RANK(AF19,AF:AF,1)+COUNTIF($AF$2:AF19,AF19)-1</f>
        <v>11</v>
      </c>
      <c r="AH19" s="48" t="str" cm="1">
        <f t="array" ref="AH19">INDEX(aliance_indicator_data!$A$2:$AD$22,(ROW()-ROW(aliance_indicator_data!$A$1:$AD$1)),MATCH(selected_indic_name_adj,aliance_indicator_data!$A$1:$AD$1,0))</f>
        <v>NRA*</v>
      </c>
      <c r="AI19" s="49" t="str">
        <f>IF(AH19="NRA*","NRA*",RANK(AH19,AH:AH,1)+COUNTIF($AH$2:AH19,AH19)-1)</f>
        <v>NRA*</v>
      </c>
    </row>
    <row r="20" spans="1:35" x14ac:dyDescent="0.25">
      <c r="A20" s="10" t="s">
        <v>69</v>
      </c>
      <c r="B20" s="10" t="s">
        <v>67</v>
      </c>
      <c r="C20" s="10" t="s">
        <v>68</v>
      </c>
      <c r="D20" s="14">
        <v>1400</v>
      </c>
      <c r="E20" s="14">
        <v>1290</v>
      </c>
      <c r="F20" s="14">
        <v>89</v>
      </c>
      <c r="G20" s="14">
        <v>334</v>
      </c>
      <c r="H20" s="14">
        <v>392</v>
      </c>
      <c r="I20" s="14">
        <v>258</v>
      </c>
      <c r="J20" s="14">
        <v>110</v>
      </c>
      <c r="K20" s="34">
        <v>42.170543670654297</v>
      </c>
      <c r="L20" s="14" t="str">
        <f t="shared" si="0"/>
        <v>NRA*</v>
      </c>
      <c r="M20" s="34">
        <v>60.999195098876953</v>
      </c>
      <c r="N20" s="14" t="str">
        <f t="shared" si="1"/>
        <v>NRA*</v>
      </c>
      <c r="O20" s="34">
        <v>60.179641723632813</v>
      </c>
      <c r="P20" s="14" t="str">
        <f t="shared" si="2"/>
        <v>NRA*</v>
      </c>
      <c r="Q20" s="34">
        <v>19.534883499145508</v>
      </c>
      <c r="R20" s="34">
        <v>18.081758499145508</v>
      </c>
      <c r="S20" s="34">
        <v>67.415733337402344</v>
      </c>
      <c r="T20" s="34">
        <v>65.019630432128906</v>
      </c>
      <c r="U20" s="34">
        <v>67.346939086914063</v>
      </c>
      <c r="V20" s="34">
        <v>71.589370727539063</v>
      </c>
      <c r="W20" s="34">
        <v>57.272727966308594</v>
      </c>
      <c r="X20" s="34">
        <v>58.232631683349609</v>
      </c>
      <c r="Y20" s="34">
        <v>56.589145660400391</v>
      </c>
      <c r="Z20" s="34">
        <v>60.243438720703125</v>
      </c>
      <c r="AA20" s="34">
        <v>92.230857849121094</v>
      </c>
      <c r="AB20" s="14" t="str">
        <f t="shared" si="3"/>
        <v>NRA*</v>
      </c>
      <c r="AC20" s="34">
        <v>33.030303955078125</v>
      </c>
      <c r="AD20" s="34">
        <v>34.67889404296875</v>
      </c>
      <c r="AE20" s="34"/>
      <c r="AF20" s="34" cm="1">
        <f t="array" ref="AF20">INDEX(aliance_indicator_data!$A$2:$AD$22,(ROW()-ROW(aliance_indicator_data!$A$1:$AD$1)),MATCH(selected_indic_name_unadj,aliance_indicator_data!$A$1:$AD$1,0))</f>
        <v>42.170543670654297</v>
      </c>
      <c r="AG20" s="34">
        <f>RANK(AF20,AF:AF,1)+COUNTIF($AF$2:AF20,AF20)-1</f>
        <v>1</v>
      </c>
      <c r="AH20" s="56" t="str" cm="1">
        <f t="array" ref="AH20">INDEX(aliance_indicator_data!$A$2:$AD$22,(ROW()-ROW(aliance_indicator_data!$A$1:$AD$1)),MATCH(selected_indic_name_adj,aliance_indicator_data!$A$1:$AD$1,0))</f>
        <v>NRA*</v>
      </c>
      <c r="AI20" s="57" t="str">
        <f>IF(AH20="NRA*","NRA*",RANK(AH20,AH:AH,1)+COUNTIF($AH$2:AH20,AH20)-1)</f>
        <v>NRA*</v>
      </c>
    </row>
    <row r="21" spans="1:35" x14ac:dyDescent="0.25">
      <c r="A21" t="s">
        <v>74</v>
      </c>
      <c r="B21" t="s">
        <v>72</v>
      </c>
      <c r="C21" t="s">
        <v>73</v>
      </c>
      <c r="D21" s="2">
        <v>3634</v>
      </c>
      <c r="E21" s="2">
        <v>3293</v>
      </c>
      <c r="F21" s="2">
        <v>286</v>
      </c>
      <c r="G21" s="2">
        <v>508</v>
      </c>
      <c r="H21" s="2">
        <v>632</v>
      </c>
      <c r="I21" s="2">
        <v>691</v>
      </c>
      <c r="J21" s="2">
        <v>244</v>
      </c>
      <c r="K21" s="4">
        <v>50.449054718017578</v>
      </c>
      <c r="L21" s="2" t="str">
        <f t="shared" si="0"/>
        <v>NRA*</v>
      </c>
      <c r="M21" s="4">
        <v>51.409351348876953</v>
      </c>
      <c r="N21" s="2" t="str">
        <f t="shared" si="1"/>
        <v>NRA*</v>
      </c>
      <c r="O21" s="4">
        <v>80.905509948730469</v>
      </c>
      <c r="P21" s="2" t="str">
        <f t="shared" si="2"/>
        <v>NRA*</v>
      </c>
      <c r="Q21" s="4">
        <v>15.092620849609375</v>
      </c>
      <c r="R21" s="4">
        <v>17.935337066650391</v>
      </c>
      <c r="S21" s="4">
        <v>65.384613037109375</v>
      </c>
      <c r="T21" s="4">
        <v>64.57867431640625</v>
      </c>
      <c r="U21" s="4">
        <v>75.949363708496094</v>
      </c>
      <c r="V21" s="4">
        <v>77.500320434570313</v>
      </c>
      <c r="W21" s="4">
        <v>56.967212677001953</v>
      </c>
      <c r="X21" s="4">
        <v>56.209072113037109</v>
      </c>
      <c r="Y21" s="4">
        <v>51.808971405029297</v>
      </c>
      <c r="Z21" s="4">
        <v>53.419471740722656</v>
      </c>
      <c r="AA21" s="4">
        <v>94.145645141601563</v>
      </c>
      <c r="AB21" s="2" t="str">
        <f t="shared" si="3"/>
        <v>NRA*</v>
      </c>
      <c r="AC21" s="4">
        <v>38.884239196777344</v>
      </c>
      <c r="AD21" s="4">
        <v>35.593975067138672</v>
      </c>
      <c r="AE21" s="4"/>
      <c r="AF21" s="4" cm="1">
        <f t="array" ref="AF21">INDEX(aliance_indicator_data!$A$2:$AD$22,(ROW()-ROW(aliance_indicator_data!$A$1:$AD$1)),MATCH(selected_indic_name_unadj,aliance_indicator_data!$A$1:$AD$1,0))</f>
        <v>50.449054718017578</v>
      </c>
      <c r="AG21" s="4">
        <f>RANK(AF21,AF:AF,1)+COUNTIF($AF$2:AF21,AF21)-1</f>
        <v>18</v>
      </c>
      <c r="AH21" s="48" t="str" cm="1">
        <f t="array" ref="AH21">INDEX(aliance_indicator_data!$A$2:$AD$22,(ROW()-ROW(aliance_indicator_data!$A$1:$AD$1)),MATCH(selected_indic_name_adj,aliance_indicator_data!$A$1:$AD$1,0))</f>
        <v>NRA*</v>
      </c>
      <c r="AI21" s="49" t="str">
        <f>IF(AH21="NRA*","NRA*",RANK(AH21,AH:AH,1)+COUNTIF($AH$2:AH21,AH21)-1)</f>
        <v>NRA*</v>
      </c>
    </row>
    <row r="22" spans="1:35" x14ac:dyDescent="0.25">
      <c r="A22" s="9" t="s">
        <v>77</v>
      </c>
      <c r="B22" s="9" t="s">
        <v>75</v>
      </c>
      <c r="C22" s="9" t="s">
        <v>76</v>
      </c>
      <c r="D22" s="52">
        <v>1876</v>
      </c>
      <c r="E22" s="52">
        <v>1695</v>
      </c>
      <c r="F22" s="52">
        <v>164</v>
      </c>
      <c r="G22" s="52">
        <v>350</v>
      </c>
      <c r="H22" s="52">
        <v>436</v>
      </c>
      <c r="I22" s="52">
        <v>314</v>
      </c>
      <c r="J22" s="52">
        <v>136</v>
      </c>
      <c r="K22" s="58">
        <v>46.197181701660156</v>
      </c>
      <c r="L22" s="52" t="str">
        <f t="shared" si="0"/>
        <v>NRA*</v>
      </c>
      <c r="M22" s="58">
        <v>49.510086059570313</v>
      </c>
      <c r="N22" s="52" t="str">
        <f t="shared" si="1"/>
        <v>NRA*</v>
      </c>
      <c r="O22" s="58">
        <v>100</v>
      </c>
      <c r="P22" s="52" t="str">
        <f t="shared" si="2"/>
        <v>NRA*</v>
      </c>
      <c r="Q22" s="58">
        <v>14.513274192810059</v>
      </c>
      <c r="R22" s="58">
        <v>11.423864364624023</v>
      </c>
      <c r="S22" s="58">
        <v>78.048782348632813</v>
      </c>
      <c r="T22" s="58">
        <v>74.712295532226563</v>
      </c>
      <c r="U22" s="58">
        <v>90.366973876953125</v>
      </c>
      <c r="V22" s="58">
        <v>81.391090393066406</v>
      </c>
      <c r="W22" s="58">
        <v>68.382354736328125</v>
      </c>
      <c r="X22" s="58">
        <v>66.261566162109375</v>
      </c>
      <c r="Y22" s="58">
        <v>67.834396362304688</v>
      </c>
      <c r="Z22" s="58">
        <v>62.040782928466797</v>
      </c>
      <c r="AA22" s="58">
        <v>90.541465759277344</v>
      </c>
      <c r="AB22" s="52" t="str">
        <f t="shared" si="3"/>
        <v>NRA*</v>
      </c>
      <c r="AC22" s="58">
        <v>39.677974700927734</v>
      </c>
      <c r="AD22" s="58">
        <v>43.274486541748047</v>
      </c>
      <c r="AE22" s="58"/>
      <c r="AF22" s="58" cm="1">
        <f t="array" ref="AF22">INDEX(aliance_indicator_data!$A$2:$AD$22,(ROW()-ROW(aliance_indicator_data!$A$1:$AD$1)),MATCH(selected_indic_name_unadj,aliance_indicator_data!$A$1:$AD$1,0))</f>
        <v>46.197181701660156</v>
      </c>
      <c r="AG22" s="58">
        <f>RANK(AF22,AF:AF,1)+COUNTIF($AF$2:AF22,AF22)-1</f>
        <v>6</v>
      </c>
      <c r="AH22" s="59" t="str" cm="1">
        <f t="array" ref="AH22">INDEX(aliance_indicator_data!$A$2:$AD$22,(ROW()-ROW(aliance_indicator_data!$A$1:$AD$1)),MATCH(selected_indic_name_adj,aliance_indicator_data!$A$1:$AD$1,0))</f>
        <v>NRA*</v>
      </c>
      <c r="AI22" s="60" t="str">
        <f>IF(AH22="NRA*","NRA*",RANK(AH22,AH:AH,1)+COUNTIF($AH$2:AH22,AH22)-1)</f>
        <v>NRA*</v>
      </c>
    </row>
  </sheetData>
  <conditionalFormatting sqref="D2:J22">
    <cfRule type="cellIs" dxfId="0" priority="1" operator="lessThan">
      <formula>10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pageSetUpPr autoPageBreaks="0"/>
  </sheetPr>
  <dimension ref="A1:R7"/>
  <sheetViews>
    <sheetView workbookViewId="0">
      <selection activeCell="A21" sqref="A21"/>
    </sheetView>
  </sheetViews>
  <sheetFormatPr defaultRowHeight="15" x14ac:dyDescent="0.25"/>
  <cols>
    <col min="1" max="1" width="29.28515625" bestFit="1" customWidth="1"/>
    <col min="2" max="2" width="6" bestFit="1" customWidth="1"/>
    <col min="3" max="3" width="9.7109375" bestFit="1" customWidth="1"/>
    <col min="4" max="4" width="8.5703125" bestFit="1" customWidth="1"/>
    <col min="5" max="6" width="17.28515625" bestFit="1" customWidth="1"/>
    <col min="7" max="7" width="18.42578125" bestFit="1" customWidth="1"/>
    <col min="8" max="8" width="17.28515625" bestFit="1" customWidth="1"/>
    <col min="9" max="9" width="11.140625" bestFit="1" customWidth="1"/>
    <col min="10" max="10" width="10.42578125" bestFit="1" customWidth="1"/>
    <col min="11" max="11" width="18" bestFit="1" customWidth="1"/>
    <col min="12" max="12" width="12" bestFit="1" customWidth="1"/>
    <col min="13" max="13" width="11.42578125" bestFit="1" customWidth="1"/>
    <col min="14" max="14" width="12.28515625" bestFit="1" customWidth="1"/>
    <col min="15" max="15" width="11.28515625" bestFit="1" customWidth="1"/>
    <col min="16" max="16" width="8.85546875" bestFit="1" customWidth="1"/>
    <col min="17" max="17" width="8.28515625" bestFit="1" customWidth="1"/>
    <col min="18" max="18" width="15.42578125" bestFit="1" customWidth="1"/>
  </cols>
  <sheetData>
    <row r="1" spans="1:18" x14ac:dyDescent="0.25">
      <c r="A1" s="11" t="s">
        <v>336</v>
      </c>
      <c r="B1" s="11" t="s">
        <v>3</v>
      </c>
      <c r="C1" s="11" t="s">
        <v>4</v>
      </c>
      <c r="D1" s="11" t="s">
        <v>5</v>
      </c>
      <c r="E1" s="11" t="s">
        <v>501</v>
      </c>
      <c r="F1" s="11" t="s">
        <v>502</v>
      </c>
      <c r="G1" s="11" t="s">
        <v>503</v>
      </c>
      <c r="H1" s="11" t="s">
        <v>504</v>
      </c>
      <c r="I1" s="11" t="s">
        <v>6</v>
      </c>
      <c r="J1" s="11" t="s">
        <v>7</v>
      </c>
      <c r="K1" s="11" t="s">
        <v>8</v>
      </c>
      <c r="L1" s="11" t="s">
        <v>9</v>
      </c>
      <c r="M1" s="11" t="s">
        <v>10</v>
      </c>
      <c r="N1" s="11" t="s">
        <v>506</v>
      </c>
      <c r="O1" s="11" t="s">
        <v>508</v>
      </c>
      <c r="P1" s="11" t="s">
        <v>11</v>
      </c>
      <c r="Q1" s="11" t="s">
        <v>12</v>
      </c>
      <c r="R1" s="11" t="s">
        <v>13</v>
      </c>
    </row>
    <row r="2" spans="1:18" x14ac:dyDescent="0.25">
      <c r="A2" s="12" t="s">
        <v>432</v>
      </c>
      <c r="B2" s="13">
        <v>34478</v>
      </c>
      <c r="C2" s="13">
        <v>31471</v>
      </c>
      <c r="D2" s="13">
        <v>2541</v>
      </c>
      <c r="E2" s="13">
        <v>5175</v>
      </c>
      <c r="F2" s="13">
        <v>6364</v>
      </c>
      <c r="G2" s="13">
        <v>6117</v>
      </c>
      <c r="H2" s="13">
        <v>2314</v>
      </c>
      <c r="I2" s="33">
        <v>47.675243377685547</v>
      </c>
      <c r="J2" s="33">
        <v>53.578697204589844</v>
      </c>
      <c r="K2" s="33">
        <v>82.570045471191406</v>
      </c>
      <c r="L2" s="33">
        <v>16.81230354309082</v>
      </c>
      <c r="M2" s="33">
        <v>70.444709777832031</v>
      </c>
      <c r="N2" s="33">
        <v>79.305465698242188</v>
      </c>
      <c r="O2" s="33">
        <v>60.069145202636719</v>
      </c>
      <c r="P2" s="33">
        <v>61.075691223144531</v>
      </c>
      <c r="Q2" s="33">
        <v>92.314559936523438</v>
      </c>
      <c r="R2" s="33">
        <v>35.419395446777344</v>
      </c>
    </row>
    <row r="3" spans="1:18" x14ac:dyDescent="0.25">
      <c r="A3" t="s">
        <v>433</v>
      </c>
      <c r="I3">
        <f>IF(I2&gt;49,-1,0)</f>
        <v>0</v>
      </c>
      <c r="J3">
        <f t="shared" ref="J3:R3" si="0">IF(J2&gt;49,-1,0)</f>
        <v>-1</v>
      </c>
      <c r="K3">
        <f t="shared" si="0"/>
        <v>-1</v>
      </c>
      <c r="L3">
        <f t="shared" si="0"/>
        <v>0</v>
      </c>
      <c r="M3">
        <f t="shared" si="0"/>
        <v>-1</v>
      </c>
      <c r="N3">
        <f t="shared" si="0"/>
        <v>-1</v>
      </c>
      <c r="O3">
        <f t="shared" si="0"/>
        <v>-1</v>
      </c>
      <c r="P3">
        <f t="shared" si="0"/>
        <v>-1</v>
      </c>
      <c r="Q3">
        <f t="shared" si="0"/>
        <v>-1</v>
      </c>
      <c r="R3">
        <f t="shared" si="0"/>
        <v>0</v>
      </c>
    </row>
    <row r="4" spans="1:18" x14ac:dyDescent="0.25">
      <c r="A4" s="10" t="s">
        <v>434</v>
      </c>
      <c r="B4" s="10"/>
      <c r="C4" s="10"/>
      <c r="D4" s="10"/>
      <c r="E4" s="10"/>
      <c r="F4" s="10"/>
      <c r="G4" s="10"/>
      <c r="H4" s="10"/>
      <c r="I4" s="34">
        <f>I2/100</f>
        <v>0.47675243377685544</v>
      </c>
      <c r="J4" s="34">
        <f t="shared" ref="J4:R4" si="1">J2/100</f>
        <v>0.53578697204589842</v>
      </c>
      <c r="K4" s="34">
        <f t="shared" si="1"/>
        <v>0.82570045471191411</v>
      </c>
      <c r="L4" s="34">
        <f t="shared" si="1"/>
        <v>0.1681230354309082</v>
      </c>
      <c r="M4" s="34">
        <f t="shared" si="1"/>
        <v>0.70444709777832026</v>
      </c>
      <c r="N4" s="34">
        <f t="shared" si="1"/>
        <v>0.79305465698242184</v>
      </c>
      <c r="O4" s="34">
        <f t="shared" si="1"/>
        <v>0.6006914520263672</v>
      </c>
      <c r="P4" s="34">
        <f t="shared" si="1"/>
        <v>0.61075691223144535</v>
      </c>
      <c r="Q4" s="34">
        <f t="shared" si="1"/>
        <v>0.92314559936523433</v>
      </c>
      <c r="R4" s="34">
        <f t="shared" si="1"/>
        <v>0.35419395446777346</v>
      </c>
    </row>
    <row r="5" spans="1:18" x14ac:dyDescent="0.25">
      <c r="A5" t="s">
        <v>435</v>
      </c>
      <c r="I5" s="4">
        <f>IF(I3=-1,1-I4,I4)</f>
        <v>0.47675243377685544</v>
      </c>
      <c r="J5" s="4">
        <f t="shared" ref="J5:R5" si="2">IF(J3=-1,1-J4,J4)</f>
        <v>0.46421302795410158</v>
      </c>
      <c r="K5" s="4">
        <f t="shared" si="2"/>
        <v>0.17429954528808589</v>
      </c>
      <c r="L5" s="4">
        <f t="shared" si="2"/>
        <v>0.1681230354309082</v>
      </c>
      <c r="M5" s="4">
        <f t="shared" si="2"/>
        <v>0.29555290222167974</v>
      </c>
      <c r="N5" s="4">
        <f t="shared" si="2"/>
        <v>0.20694534301757816</v>
      </c>
      <c r="O5" s="4">
        <f t="shared" si="2"/>
        <v>0.3993085479736328</v>
      </c>
      <c r="P5" s="4">
        <f t="shared" si="2"/>
        <v>0.38924308776855465</v>
      </c>
      <c r="Q5" s="4">
        <f t="shared" si="2"/>
        <v>7.6854400634765674E-2</v>
      </c>
      <c r="R5" s="4">
        <f t="shared" si="2"/>
        <v>0.35419395446777346</v>
      </c>
    </row>
    <row r="6" spans="1:18" x14ac:dyDescent="0.25">
      <c r="A6" s="10" t="s">
        <v>436</v>
      </c>
      <c r="B6" s="10"/>
      <c r="C6" s="10"/>
      <c r="D6" s="10"/>
      <c r="E6" s="10"/>
      <c r="F6" s="10"/>
      <c r="G6" s="10"/>
      <c r="H6" s="10"/>
      <c r="I6" s="34">
        <f>SQRT(I5*(1-I5))</f>
        <v>0.49945925826307447</v>
      </c>
      <c r="J6" s="34">
        <f t="shared" ref="J6:R6" si="3">SQRT(J5*(1-J5))</f>
        <v>0.49871764820566161</v>
      </c>
      <c r="K6" s="34">
        <f t="shared" si="3"/>
        <v>0.37936685912247581</v>
      </c>
      <c r="L6" s="34">
        <f t="shared" si="3"/>
        <v>0.37397550773868304</v>
      </c>
      <c r="M6" s="34">
        <f t="shared" si="3"/>
        <v>0.45629089867103634</v>
      </c>
      <c r="N6" s="34">
        <f t="shared" si="3"/>
        <v>0.40511599329193987</v>
      </c>
      <c r="O6" s="34">
        <f t="shared" si="3"/>
        <v>0.48975629805937337</v>
      </c>
      <c r="P6" s="34">
        <f t="shared" si="3"/>
        <v>0.48757861560260812</v>
      </c>
      <c r="Q6" s="34">
        <f t="shared" si="3"/>
        <v>0.26636028558671543</v>
      </c>
      <c r="R6" s="34">
        <f t="shared" si="3"/>
        <v>0.47826833167820582</v>
      </c>
    </row>
    <row r="7" spans="1:18" x14ac:dyDescent="0.25">
      <c r="A7" s="30" t="s">
        <v>437</v>
      </c>
      <c r="B7" s="30"/>
      <c r="C7" s="30"/>
      <c r="D7" s="30"/>
      <c r="E7" s="30"/>
      <c r="F7" s="30"/>
      <c r="G7" s="30"/>
      <c r="H7" s="30"/>
      <c r="I7" s="35">
        <f>ASIN(SQRT(I5))</f>
        <v>0.76214221292766271</v>
      </c>
      <c r="J7" s="35">
        <f t="shared" ref="J7:R7" si="4">ASIN(SQRT(J5))</f>
        <v>0.74958056560565067</v>
      </c>
      <c r="K7" s="35">
        <f t="shared" si="4"/>
        <v>0.43068348594904421</v>
      </c>
      <c r="L7" s="35">
        <f t="shared" si="4"/>
        <v>0.42248486107607364</v>
      </c>
      <c r="M7" s="35">
        <f t="shared" si="4"/>
        <v>0.57477716294651948</v>
      </c>
      <c r="N7" s="35">
        <f t="shared" si="4"/>
        <v>0.47227390732295266</v>
      </c>
      <c r="O7" s="35">
        <f t="shared" si="4"/>
        <v>0.68401339080993517</v>
      </c>
      <c r="P7" s="35">
        <f t="shared" si="4"/>
        <v>0.67371486958058069</v>
      </c>
      <c r="Q7" s="35">
        <f t="shared" si="4"/>
        <v>0.28090601173636975</v>
      </c>
      <c r="R7" s="35">
        <f t="shared" si="4"/>
        <v>0.6374422896767048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BF127"/>
  <sheetViews>
    <sheetView workbookViewId="0">
      <selection activeCell="A21" sqref="A21"/>
    </sheetView>
  </sheetViews>
  <sheetFormatPr defaultRowHeight="15" x14ac:dyDescent="0.25"/>
  <cols>
    <col min="1" max="1" width="12.5703125" bestFit="1" customWidth="1"/>
    <col min="2" max="2" width="59" bestFit="1" customWidth="1"/>
    <col min="3" max="3" width="13" bestFit="1" customWidth="1"/>
    <col min="4" max="4" width="8.42578125" bestFit="1" customWidth="1"/>
    <col min="5" max="5" width="17.42578125" bestFit="1" customWidth="1"/>
    <col min="6" max="6" width="15.140625" bestFit="1" customWidth="1"/>
    <col min="7" max="7" width="10.5703125" bestFit="1" customWidth="1"/>
    <col min="8" max="8" width="8.28515625" bestFit="1" customWidth="1"/>
    <col min="9" max="9" width="9" bestFit="1" customWidth="1"/>
    <col min="10" max="11" width="8.140625" bestFit="1" customWidth="1"/>
    <col min="12" max="12" width="8" bestFit="1" customWidth="1"/>
    <col min="13" max="13" width="16.5703125" bestFit="1" customWidth="1"/>
    <col min="14" max="14" width="10.42578125" bestFit="1" customWidth="1"/>
    <col min="15" max="15" width="11.140625" bestFit="1" customWidth="1"/>
    <col min="16" max="17" width="10.28515625" bestFit="1" customWidth="1"/>
    <col min="18" max="18" width="10.140625" bestFit="1" customWidth="1"/>
    <col min="19" max="19" width="11" bestFit="1" customWidth="1"/>
    <col min="20" max="22" width="7.7109375" bestFit="1" customWidth="1"/>
    <col min="23" max="23" width="11" bestFit="1" customWidth="1"/>
    <col min="24" max="24" width="13.140625" bestFit="1" customWidth="1"/>
    <col min="25" max="27" width="9.85546875" bestFit="1" customWidth="1"/>
    <col min="28" max="28" width="13.140625" bestFit="1" customWidth="1"/>
    <col min="29" max="29" width="6.7109375" bestFit="1" customWidth="1"/>
    <col min="30" max="30" width="11.7109375" bestFit="1" customWidth="1"/>
    <col min="31" max="31" width="7.85546875" bestFit="1" customWidth="1"/>
    <col min="32" max="32" width="15.140625" bestFit="1" customWidth="1"/>
    <col min="33" max="33" width="8.85546875" bestFit="1" customWidth="1"/>
    <col min="34" max="34" width="9.28515625" bestFit="1" customWidth="1"/>
    <col min="35" max="35" width="10" bestFit="1" customWidth="1"/>
    <col min="36" max="36" width="13.7109375" bestFit="1" customWidth="1"/>
    <col min="37" max="38" width="5.140625" bestFit="1" customWidth="1"/>
    <col min="39" max="40" width="6.28515625" bestFit="1" customWidth="1"/>
    <col min="41" max="41" width="5.140625" bestFit="1" customWidth="1"/>
    <col min="42" max="42" width="13.42578125" bestFit="1" customWidth="1"/>
    <col min="43" max="44" width="7.28515625" bestFit="1" customWidth="1"/>
    <col min="45" max="46" width="8.42578125" bestFit="1" customWidth="1"/>
    <col min="47" max="47" width="7.28515625" bestFit="1" customWidth="1"/>
    <col min="48" max="52" width="6.28515625" bestFit="1" customWidth="1"/>
    <col min="53" max="53" width="14.5703125" bestFit="1" customWidth="1"/>
    <col min="54" max="58" width="8.42578125" bestFit="1" customWidth="1"/>
    <col min="59" max="63" width="24.140625" customWidth="1"/>
    <col min="64" max="64" width="31.42578125" customWidth="1"/>
  </cols>
  <sheetData>
    <row r="1" spans="1:58" x14ac:dyDescent="0.25">
      <c r="A1" s="66" t="s">
        <v>78</v>
      </c>
      <c r="B1" s="66" t="s">
        <v>79</v>
      </c>
      <c r="C1" s="66" t="s">
        <v>543</v>
      </c>
      <c r="D1" s="66" t="s">
        <v>544</v>
      </c>
      <c r="E1" s="66" t="s">
        <v>545</v>
      </c>
      <c r="F1" s="66" t="s">
        <v>546</v>
      </c>
      <c r="G1" s="66" t="s">
        <v>547</v>
      </c>
      <c r="H1" s="66" t="s">
        <v>548</v>
      </c>
      <c r="I1" s="66" t="s">
        <v>549</v>
      </c>
      <c r="J1" s="66" t="s">
        <v>550</v>
      </c>
      <c r="K1" s="66" t="s">
        <v>551</v>
      </c>
      <c r="L1" s="66" t="s">
        <v>552</v>
      </c>
      <c r="M1" s="66" t="s">
        <v>553</v>
      </c>
      <c r="N1" s="66" t="s">
        <v>554</v>
      </c>
      <c r="O1" s="66" t="s">
        <v>555</v>
      </c>
      <c r="P1" s="66" t="s">
        <v>556</v>
      </c>
      <c r="Q1" s="66" t="s">
        <v>557</v>
      </c>
      <c r="R1" s="66" t="s">
        <v>558</v>
      </c>
      <c r="S1" s="66" t="s">
        <v>559</v>
      </c>
      <c r="T1" s="66" t="s">
        <v>560</v>
      </c>
      <c r="U1" s="66" t="s">
        <v>561</v>
      </c>
      <c r="V1" s="66" t="s">
        <v>562</v>
      </c>
      <c r="W1" s="66" t="s">
        <v>563</v>
      </c>
      <c r="X1" s="66" t="s">
        <v>564</v>
      </c>
      <c r="Y1" s="66" t="s">
        <v>565</v>
      </c>
      <c r="Z1" s="66" t="s">
        <v>566</v>
      </c>
      <c r="AA1" s="66" t="s">
        <v>567</v>
      </c>
      <c r="AB1" s="66" t="s">
        <v>568</v>
      </c>
      <c r="AC1" s="66" t="s">
        <v>569</v>
      </c>
      <c r="AD1" s="66" t="s">
        <v>570</v>
      </c>
      <c r="AE1" s="66" t="s">
        <v>571</v>
      </c>
      <c r="AF1" s="66" t="s">
        <v>572</v>
      </c>
      <c r="AG1" s="66" t="s">
        <v>573</v>
      </c>
      <c r="AH1" s="66" t="s">
        <v>574</v>
      </c>
      <c r="AI1" s="66" t="s">
        <v>575</v>
      </c>
      <c r="AJ1" s="66" t="s">
        <v>576</v>
      </c>
      <c r="AK1" s="66" t="s">
        <v>577</v>
      </c>
      <c r="AL1" s="66" t="s">
        <v>578</v>
      </c>
      <c r="AM1" s="66" t="s">
        <v>579</v>
      </c>
      <c r="AN1" s="66" t="s">
        <v>580</v>
      </c>
      <c r="AO1" s="66" t="s">
        <v>581</v>
      </c>
      <c r="AP1" s="66" t="s">
        <v>582</v>
      </c>
      <c r="AQ1" s="66" t="s">
        <v>583</v>
      </c>
      <c r="AR1" s="66" t="s">
        <v>584</v>
      </c>
      <c r="AS1" s="66" t="s">
        <v>585</v>
      </c>
      <c r="AT1" s="66" t="s">
        <v>586</v>
      </c>
      <c r="AU1" s="66" t="s">
        <v>587</v>
      </c>
      <c r="AV1" s="66" t="s">
        <v>588</v>
      </c>
      <c r="AW1" s="66" t="s">
        <v>589</v>
      </c>
      <c r="AX1" s="66" t="s">
        <v>590</v>
      </c>
      <c r="AY1" s="66" t="s">
        <v>591</v>
      </c>
      <c r="AZ1" s="66" t="s">
        <v>592</v>
      </c>
      <c r="BA1" s="66" t="s">
        <v>593</v>
      </c>
      <c r="BB1" s="66" t="s">
        <v>594</v>
      </c>
      <c r="BC1" s="66" t="s">
        <v>595</v>
      </c>
      <c r="BD1" s="66" t="s">
        <v>596</v>
      </c>
      <c r="BE1" s="66" t="s">
        <v>597</v>
      </c>
      <c r="BF1" s="66" t="s">
        <v>598</v>
      </c>
    </row>
    <row r="2" spans="1:58" x14ac:dyDescent="0.25">
      <c r="A2" s="67" t="s">
        <v>80</v>
      </c>
      <c r="B2" s="67" t="s">
        <v>81</v>
      </c>
      <c r="C2" s="68">
        <v>81</v>
      </c>
      <c r="D2" s="68">
        <v>7</v>
      </c>
      <c r="E2" s="68">
        <v>477</v>
      </c>
      <c r="F2" s="68">
        <v>92.045455932617188</v>
      </c>
      <c r="G2" s="68">
        <v>7.9545454978942871</v>
      </c>
      <c r="H2" s="68">
        <v>452</v>
      </c>
      <c r="I2" s="68">
        <v>12</v>
      </c>
      <c r="J2" s="68">
        <v>20</v>
      </c>
      <c r="K2" s="68">
        <v>65</v>
      </c>
      <c r="L2" s="68">
        <v>6</v>
      </c>
      <c r="M2" s="68">
        <v>10</v>
      </c>
      <c r="N2" s="68">
        <v>81.441444396972656</v>
      </c>
      <c r="O2" s="68">
        <v>2.1621620655059814</v>
      </c>
      <c r="P2" s="68">
        <v>3.6036036014556885</v>
      </c>
      <c r="Q2" s="68">
        <v>11.711711883544922</v>
      </c>
      <c r="R2" s="68">
        <v>1.0810810327529907</v>
      </c>
      <c r="S2" s="68">
        <v>249</v>
      </c>
      <c r="T2" s="68">
        <v>106</v>
      </c>
      <c r="U2" s="68">
        <v>61</v>
      </c>
      <c r="V2" s="68">
        <v>88</v>
      </c>
      <c r="W2" s="68">
        <v>61</v>
      </c>
      <c r="X2" s="68">
        <v>44.070796966552734</v>
      </c>
      <c r="Y2" s="68">
        <v>18.761062622070313</v>
      </c>
      <c r="Z2" s="68">
        <v>10.796460151672363</v>
      </c>
      <c r="AA2" s="68">
        <v>15.575221061706543</v>
      </c>
      <c r="AB2" s="68">
        <v>10.796460151672363</v>
      </c>
      <c r="AC2" s="68">
        <v>39</v>
      </c>
      <c r="AD2" s="68">
        <v>9</v>
      </c>
      <c r="AE2" s="68">
        <v>396</v>
      </c>
      <c r="AF2" s="68">
        <v>121</v>
      </c>
      <c r="AG2" s="68">
        <v>6.9026546478271484</v>
      </c>
      <c r="AH2" s="68">
        <v>1.5929203033447266</v>
      </c>
      <c r="AI2" s="68">
        <v>70.088493347167969</v>
      </c>
      <c r="AJ2" s="68">
        <v>21.415929794311523</v>
      </c>
      <c r="AK2" s="68">
        <v>175</v>
      </c>
      <c r="AL2" s="68">
        <v>43</v>
      </c>
      <c r="AM2" s="68">
        <v>51</v>
      </c>
      <c r="AN2" s="68">
        <v>23</v>
      </c>
      <c r="AO2" s="68">
        <v>128</v>
      </c>
      <c r="AP2" s="68">
        <v>145</v>
      </c>
      <c r="AQ2" s="68">
        <v>41.666667938232422</v>
      </c>
      <c r="AR2" s="68">
        <v>10.238095283508301</v>
      </c>
      <c r="AS2" s="68">
        <v>12.142857551574707</v>
      </c>
      <c r="AT2" s="68">
        <v>5.4761905670166016</v>
      </c>
      <c r="AU2" s="68">
        <v>30.476190567016602</v>
      </c>
      <c r="AV2" s="68">
        <v>118</v>
      </c>
      <c r="AW2" s="68">
        <v>179</v>
      </c>
      <c r="AX2" s="68">
        <v>92</v>
      </c>
      <c r="AY2" s="68">
        <v>82</v>
      </c>
      <c r="AZ2" s="68">
        <v>15</v>
      </c>
      <c r="BA2" s="68">
        <v>79</v>
      </c>
      <c r="BB2" s="68">
        <v>24.279834747314453</v>
      </c>
      <c r="BC2" s="68">
        <v>36.831275939941406</v>
      </c>
      <c r="BD2" s="68">
        <v>18.93004035949707</v>
      </c>
      <c r="BE2" s="68">
        <v>16.872428894042969</v>
      </c>
      <c r="BF2" s="68">
        <v>3.0864198207855225</v>
      </c>
    </row>
    <row r="3" spans="1:58" x14ac:dyDescent="0.25">
      <c r="A3" s="69" t="s">
        <v>82</v>
      </c>
      <c r="B3" s="69" t="s">
        <v>83</v>
      </c>
      <c r="C3" s="70">
        <v>402</v>
      </c>
      <c r="D3" s="70">
        <v>23</v>
      </c>
      <c r="E3" s="70">
        <v>39</v>
      </c>
      <c r="F3" s="70">
        <v>94.588233947753906</v>
      </c>
      <c r="G3" s="70">
        <v>5.4117646217346191</v>
      </c>
      <c r="H3" s="70">
        <v>462</v>
      </c>
      <c r="I3" s="70"/>
      <c r="J3" s="70">
        <v>2</v>
      </c>
      <c r="K3" s="70"/>
      <c r="L3" s="70"/>
      <c r="M3" s="70"/>
      <c r="N3" s="70">
        <v>99.568962097167969</v>
      </c>
      <c r="O3" s="70"/>
      <c r="P3" s="70">
        <v>0.43103447556495667</v>
      </c>
      <c r="Q3" s="70"/>
      <c r="R3" s="70"/>
      <c r="S3" s="70">
        <v>226</v>
      </c>
      <c r="T3" s="70">
        <v>124</v>
      </c>
      <c r="U3" s="70">
        <v>55</v>
      </c>
      <c r="V3" s="70">
        <v>40</v>
      </c>
      <c r="W3" s="70">
        <v>19</v>
      </c>
      <c r="X3" s="70">
        <v>48.706897735595703</v>
      </c>
      <c r="Y3" s="70">
        <v>26.724138259887695</v>
      </c>
      <c r="Z3" s="70">
        <v>11.853447914123535</v>
      </c>
      <c r="AA3" s="70">
        <v>8.6206893920898438</v>
      </c>
      <c r="AB3" s="70">
        <v>4.0948276519775391</v>
      </c>
      <c r="AC3" s="70">
        <v>49</v>
      </c>
      <c r="AD3" s="70">
        <v>2</v>
      </c>
      <c r="AE3" s="70">
        <v>230</v>
      </c>
      <c r="AF3" s="70">
        <v>183</v>
      </c>
      <c r="AG3" s="70">
        <v>10.560344696044922</v>
      </c>
      <c r="AH3" s="70">
        <v>0.43103447556495667</v>
      </c>
      <c r="AI3" s="70">
        <v>49.568965911865234</v>
      </c>
      <c r="AJ3" s="70">
        <v>39.439655303955078</v>
      </c>
      <c r="AK3" s="70">
        <v>73</v>
      </c>
      <c r="AL3" s="70">
        <v>38</v>
      </c>
      <c r="AM3" s="70">
        <v>53</v>
      </c>
      <c r="AN3" s="70">
        <v>39</v>
      </c>
      <c r="AO3" s="70">
        <v>235</v>
      </c>
      <c r="AP3" s="70">
        <v>26</v>
      </c>
      <c r="AQ3" s="70">
        <v>16.666666030883789</v>
      </c>
      <c r="AR3" s="70">
        <v>8.6757993698120117</v>
      </c>
      <c r="AS3" s="70">
        <v>12.100456237792969</v>
      </c>
      <c r="AT3" s="70">
        <v>8.9041099548339844</v>
      </c>
      <c r="AU3" s="70">
        <v>53.652969360351563</v>
      </c>
      <c r="AV3" s="70">
        <v>52</v>
      </c>
      <c r="AW3" s="70">
        <v>135</v>
      </c>
      <c r="AX3" s="70">
        <v>107</v>
      </c>
      <c r="AY3" s="70">
        <v>123</v>
      </c>
      <c r="AZ3" s="70">
        <v>36</v>
      </c>
      <c r="BA3" s="70">
        <v>11</v>
      </c>
      <c r="BB3" s="70">
        <v>11.479028701782227</v>
      </c>
      <c r="BC3" s="70">
        <v>29.801324844360352</v>
      </c>
      <c r="BD3" s="70">
        <v>23.620309829711914</v>
      </c>
      <c r="BE3" s="70">
        <v>27.152317047119141</v>
      </c>
      <c r="BF3" s="70">
        <v>7.9470200538635254</v>
      </c>
    </row>
    <row r="4" spans="1:58" x14ac:dyDescent="0.25">
      <c r="A4" s="71" t="s">
        <v>84</v>
      </c>
      <c r="B4" s="71" t="s">
        <v>85</v>
      </c>
      <c r="C4" s="72">
        <v>171</v>
      </c>
      <c r="D4" s="72">
        <v>19</v>
      </c>
      <c r="E4" s="72">
        <v>146</v>
      </c>
      <c r="F4" s="72">
        <v>90</v>
      </c>
      <c r="G4" s="72">
        <v>10</v>
      </c>
      <c r="H4" s="72">
        <v>244</v>
      </c>
      <c r="I4" s="72">
        <v>25</v>
      </c>
      <c r="J4" s="72">
        <v>22</v>
      </c>
      <c r="K4" s="72">
        <v>10</v>
      </c>
      <c r="L4" s="72">
        <v>11</v>
      </c>
      <c r="M4" s="72">
        <v>24</v>
      </c>
      <c r="N4" s="72">
        <v>78.205131530761719</v>
      </c>
      <c r="O4" s="72">
        <v>8.0128202438354492</v>
      </c>
      <c r="P4" s="72">
        <v>7.0512819290161133</v>
      </c>
      <c r="Q4" s="72">
        <v>3.2051281929016113</v>
      </c>
      <c r="R4" s="72">
        <v>3.5256409645080566</v>
      </c>
      <c r="S4" s="72">
        <v>28</v>
      </c>
      <c r="T4" s="72">
        <v>58</v>
      </c>
      <c r="U4" s="72">
        <v>74</v>
      </c>
      <c r="V4" s="72">
        <v>85</v>
      </c>
      <c r="W4" s="72">
        <v>91</v>
      </c>
      <c r="X4" s="72">
        <v>8.3333330154418945</v>
      </c>
      <c r="Y4" s="72">
        <v>17.261905670166016</v>
      </c>
      <c r="Z4" s="72">
        <v>22.023809432983398</v>
      </c>
      <c r="AA4" s="72">
        <v>25.297618865966797</v>
      </c>
      <c r="AB4" s="72">
        <v>27.083333969116211</v>
      </c>
      <c r="AC4" s="72">
        <v>24</v>
      </c>
      <c r="AD4" s="72">
        <v>3</v>
      </c>
      <c r="AE4" s="72">
        <v>158</v>
      </c>
      <c r="AF4" s="72">
        <v>151</v>
      </c>
      <c r="AG4" s="72">
        <v>7.1428570747375488</v>
      </c>
      <c r="AH4" s="72">
        <v>0.8928571343421936</v>
      </c>
      <c r="AI4" s="72">
        <v>47.023811340332031</v>
      </c>
      <c r="AJ4" s="72">
        <v>44.940475463867188</v>
      </c>
      <c r="AK4" s="72">
        <v>61</v>
      </c>
      <c r="AL4" s="72">
        <v>20</v>
      </c>
      <c r="AM4" s="72">
        <v>42</v>
      </c>
      <c r="AN4" s="72">
        <v>34</v>
      </c>
      <c r="AO4" s="72">
        <v>143</v>
      </c>
      <c r="AP4" s="72">
        <v>36</v>
      </c>
      <c r="AQ4" s="72">
        <v>20.333333969116211</v>
      </c>
      <c r="AR4" s="72">
        <v>6.6666665077209473</v>
      </c>
      <c r="AS4" s="72">
        <v>14</v>
      </c>
      <c r="AT4" s="72">
        <v>11.333333015441895</v>
      </c>
      <c r="AU4" s="72">
        <v>47.666667938232422</v>
      </c>
      <c r="AV4" s="72">
        <v>63</v>
      </c>
      <c r="AW4" s="72">
        <v>71</v>
      </c>
      <c r="AX4" s="72">
        <v>44</v>
      </c>
      <c r="AY4" s="72">
        <v>32</v>
      </c>
      <c r="AZ4" s="72">
        <v>19</v>
      </c>
      <c r="BA4" s="72">
        <v>107</v>
      </c>
      <c r="BB4" s="72">
        <v>27.510917663574219</v>
      </c>
      <c r="BC4" s="72">
        <v>31.004365921020508</v>
      </c>
      <c r="BD4" s="72">
        <v>19.213973999023438</v>
      </c>
      <c r="BE4" s="72">
        <v>13.973798751831055</v>
      </c>
      <c r="BF4" s="72">
        <v>8.2969436645507813</v>
      </c>
    </row>
    <row r="5" spans="1:58" x14ac:dyDescent="0.25">
      <c r="A5" s="69" t="s">
        <v>86</v>
      </c>
      <c r="B5" s="69" t="s">
        <v>87</v>
      </c>
      <c r="C5" s="70">
        <v>27</v>
      </c>
      <c r="D5" s="70">
        <v>1</v>
      </c>
      <c r="E5" s="70">
        <v>80</v>
      </c>
      <c r="F5" s="70">
        <v>96.428573608398438</v>
      </c>
      <c r="G5" s="70">
        <v>3.5714285373687744</v>
      </c>
      <c r="H5" s="70">
        <v>102</v>
      </c>
      <c r="I5" s="70">
        <v>1</v>
      </c>
      <c r="J5" s="70">
        <v>1</v>
      </c>
      <c r="K5" s="70">
        <v>2</v>
      </c>
      <c r="L5" s="70"/>
      <c r="M5" s="70">
        <v>2</v>
      </c>
      <c r="N5" s="70">
        <v>96.226417541503906</v>
      </c>
      <c r="O5" s="70">
        <v>0.94339621067047119</v>
      </c>
      <c r="P5" s="70">
        <v>0.94339621067047119</v>
      </c>
      <c r="Q5" s="70">
        <v>1.8867924213409424</v>
      </c>
      <c r="R5" s="70"/>
      <c r="S5" s="70">
        <v>13</v>
      </c>
      <c r="T5" s="70">
        <v>47</v>
      </c>
      <c r="U5" s="70">
        <v>28</v>
      </c>
      <c r="V5" s="70">
        <v>15</v>
      </c>
      <c r="W5" s="70">
        <v>5</v>
      </c>
      <c r="X5" s="70">
        <v>12.037036895751953</v>
      </c>
      <c r="Y5" s="70">
        <v>43.518520355224609</v>
      </c>
      <c r="Z5" s="70">
        <v>25.925926208496094</v>
      </c>
      <c r="AA5" s="70">
        <v>13.888889312744141</v>
      </c>
      <c r="AB5" s="70">
        <v>4.6296296119689941</v>
      </c>
      <c r="AC5" s="70">
        <v>8</v>
      </c>
      <c r="AD5" s="70">
        <v>4</v>
      </c>
      <c r="AE5" s="70">
        <v>70</v>
      </c>
      <c r="AF5" s="70">
        <v>26</v>
      </c>
      <c r="AG5" s="70">
        <v>7.407407283782959</v>
      </c>
      <c r="AH5" s="70">
        <v>3.7037036418914795</v>
      </c>
      <c r="AI5" s="70">
        <v>64.814811706542969</v>
      </c>
      <c r="AJ5" s="70">
        <v>24.074073791503906</v>
      </c>
      <c r="AK5" s="70">
        <v>22</v>
      </c>
      <c r="AL5" s="70">
        <v>7</v>
      </c>
      <c r="AM5" s="70">
        <v>11</v>
      </c>
      <c r="AN5" s="70">
        <v>4</v>
      </c>
      <c r="AO5" s="70">
        <v>51</v>
      </c>
      <c r="AP5" s="70">
        <v>13</v>
      </c>
      <c r="AQ5" s="70">
        <v>23.157894134521484</v>
      </c>
      <c r="AR5" s="70">
        <v>7.3684210777282715</v>
      </c>
      <c r="AS5" s="70">
        <v>11.578947067260742</v>
      </c>
      <c r="AT5" s="70">
        <v>4.2105264663696289</v>
      </c>
      <c r="AU5" s="70">
        <v>53.684211730957031</v>
      </c>
      <c r="AV5" s="70">
        <v>21</v>
      </c>
      <c r="AW5" s="70">
        <v>32</v>
      </c>
      <c r="AX5" s="70">
        <v>15</v>
      </c>
      <c r="AY5" s="70">
        <v>12</v>
      </c>
      <c r="AZ5" s="70"/>
      <c r="BA5" s="70">
        <v>28</v>
      </c>
      <c r="BB5" s="70">
        <v>26.25</v>
      </c>
      <c r="BC5" s="70">
        <v>40</v>
      </c>
      <c r="BD5" s="70">
        <v>18.75</v>
      </c>
      <c r="BE5" s="70">
        <v>15</v>
      </c>
      <c r="BF5" s="70"/>
    </row>
    <row r="6" spans="1:58" x14ac:dyDescent="0.25">
      <c r="A6" s="71" t="s">
        <v>88</v>
      </c>
      <c r="B6" s="71" t="s">
        <v>89</v>
      </c>
      <c r="C6" s="72">
        <v>133</v>
      </c>
      <c r="D6" s="72">
        <v>15</v>
      </c>
      <c r="E6" s="72">
        <v>284</v>
      </c>
      <c r="F6" s="72">
        <v>89.8648681640625</v>
      </c>
      <c r="G6" s="72">
        <v>10.135134696960449</v>
      </c>
      <c r="H6" s="72">
        <v>313</v>
      </c>
      <c r="I6" s="72">
        <v>3</v>
      </c>
      <c r="J6" s="72">
        <v>53</v>
      </c>
      <c r="K6" s="72">
        <v>36</v>
      </c>
      <c r="L6" s="72">
        <v>22</v>
      </c>
      <c r="M6" s="72">
        <v>5</v>
      </c>
      <c r="N6" s="72">
        <v>73.302108764648438</v>
      </c>
      <c r="O6" s="72">
        <v>0.70257610082626343</v>
      </c>
      <c r="P6" s="72">
        <v>12.412178039550781</v>
      </c>
      <c r="Q6" s="72">
        <v>8.430912971496582</v>
      </c>
      <c r="R6" s="72">
        <v>5.1522250175476074</v>
      </c>
      <c r="S6" s="72">
        <v>110</v>
      </c>
      <c r="T6" s="72">
        <v>175</v>
      </c>
      <c r="U6" s="72">
        <v>73</v>
      </c>
      <c r="V6" s="72">
        <v>43</v>
      </c>
      <c r="W6" s="72">
        <v>31</v>
      </c>
      <c r="X6" s="72">
        <v>25.462963104248047</v>
      </c>
      <c r="Y6" s="72">
        <v>40.509258270263672</v>
      </c>
      <c r="Z6" s="72">
        <v>16.898147583007813</v>
      </c>
      <c r="AA6" s="72">
        <v>9.9537038803100586</v>
      </c>
      <c r="AB6" s="72">
        <v>7.1759257316589355</v>
      </c>
      <c r="AC6" s="72">
        <v>25</v>
      </c>
      <c r="AD6" s="72">
        <v>11</v>
      </c>
      <c r="AE6" s="72">
        <v>301</v>
      </c>
      <c r="AF6" s="72">
        <v>95</v>
      </c>
      <c r="AG6" s="72">
        <v>5.7870368957519531</v>
      </c>
      <c r="AH6" s="72">
        <v>2.5462963581085205</v>
      </c>
      <c r="AI6" s="72">
        <v>69.675926208496094</v>
      </c>
      <c r="AJ6" s="72">
        <v>21.990739822387695</v>
      </c>
      <c r="AK6" s="72">
        <v>144</v>
      </c>
      <c r="AL6" s="72">
        <v>32</v>
      </c>
      <c r="AM6" s="72">
        <v>46</v>
      </c>
      <c r="AN6" s="72">
        <v>28</v>
      </c>
      <c r="AO6" s="72">
        <v>147</v>
      </c>
      <c r="AP6" s="72">
        <v>35</v>
      </c>
      <c r="AQ6" s="72">
        <v>36.272041320800781</v>
      </c>
      <c r="AR6" s="72">
        <v>8.0604534149169922</v>
      </c>
      <c r="AS6" s="72">
        <v>11.586901664733887</v>
      </c>
      <c r="AT6" s="72">
        <v>7.0528964996337891</v>
      </c>
      <c r="AU6" s="72">
        <v>37.027706146240234</v>
      </c>
      <c r="AV6" s="72">
        <v>62</v>
      </c>
      <c r="AW6" s="72">
        <v>62</v>
      </c>
      <c r="AX6" s="72">
        <v>18</v>
      </c>
      <c r="AY6" s="72">
        <v>10</v>
      </c>
      <c r="AZ6" s="72">
        <v>6</v>
      </c>
      <c r="BA6" s="72">
        <v>274</v>
      </c>
      <c r="BB6" s="72">
        <v>39.240505218505859</v>
      </c>
      <c r="BC6" s="72">
        <v>39.240505218505859</v>
      </c>
      <c r="BD6" s="72">
        <v>11.39240550994873</v>
      </c>
      <c r="BE6" s="72">
        <v>6.3291139602661133</v>
      </c>
      <c r="BF6" s="72">
        <v>3.7974684238433838</v>
      </c>
    </row>
    <row r="7" spans="1:58" x14ac:dyDescent="0.25">
      <c r="A7" s="69" t="s">
        <v>90</v>
      </c>
      <c r="B7" s="69" t="s">
        <v>91</v>
      </c>
      <c r="C7" s="70">
        <v>1</v>
      </c>
      <c r="D7" s="70"/>
      <c r="E7" s="70">
        <v>198</v>
      </c>
      <c r="F7" s="70"/>
      <c r="G7" s="70"/>
      <c r="H7" s="70">
        <v>109</v>
      </c>
      <c r="I7" s="70">
        <v>5</v>
      </c>
      <c r="J7" s="70">
        <v>52</v>
      </c>
      <c r="K7" s="70">
        <v>12</v>
      </c>
      <c r="L7" s="70">
        <v>17</v>
      </c>
      <c r="M7" s="70">
        <v>4</v>
      </c>
      <c r="N7" s="70">
        <v>55.897434234619141</v>
      </c>
      <c r="O7" s="70">
        <v>2.5641026496887207</v>
      </c>
      <c r="P7" s="70">
        <v>26.666666030883789</v>
      </c>
      <c r="Q7" s="70">
        <v>6.153846263885498</v>
      </c>
      <c r="R7" s="70">
        <v>8.7179489135742188</v>
      </c>
      <c r="S7" s="70">
        <v>27</v>
      </c>
      <c r="T7" s="70">
        <v>60</v>
      </c>
      <c r="U7" s="70">
        <v>59</v>
      </c>
      <c r="V7" s="70">
        <v>36</v>
      </c>
      <c r="W7" s="70">
        <v>17</v>
      </c>
      <c r="X7" s="70">
        <v>13.567839622497559</v>
      </c>
      <c r="Y7" s="70">
        <v>30.150753021240234</v>
      </c>
      <c r="Z7" s="70">
        <v>29.64824104309082</v>
      </c>
      <c r="AA7" s="70">
        <v>18.090452194213867</v>
      </c>
      <c r="AB7" s="70">
        <v>8.5427131652832031</v>
      </c>
      <c r="AC7" s="70">
        <v>11</v>
      </c>
      <c r="AD7" s="70">
        <v>1</v>
      </c>
      <c r="AE7" s="70">
        <v>60</v>
      </c>
      <c r="AF7" s="70">
        <v>127</v>
      </c>
      <c r="AG7" s="70">
        <v>5.5276379585266113</v>
      </c>
      <c r="AH7" s="70">
        <v>0.50251257419586182</v>
      </c>
      <c r="AI7" s="70">
        <v>30.150753021240234</v>
      </c>
      <c r="AJ7" s="70">
        <v>63.819095611572266</v>
      </c>
      <c r="AK7" s="70">
        <v>15</v>
      </c>
      <c r="AL7" s="70">
        <v>9</v>
      </c>
      <c r="AM7" s="70">
        <v>17</v>
      </c>
      <c r="AN7" s="70">
        <v>11</v>
      </c>
      <c r="AO7" s="70">
        <v>60</v>
      </c>
      <c r="AP7" s="70">
        <v>87</v>
      </c>
      <c r="AQ7" s="70">
        <v>13.392857551574707</v>
      </c>
      <c r="AR7" s="70">
        <v>8.0357141494750977</v>
      </c>
      <c r="AS7" s="70">
        <v>15.178571701049805</v>
      </c>
      <c r="AT7" s="70">
        <v>9.8214282989501953</v>
      </c>
      <c r="AU7" s="70">
        <v>53.571430206298828</v>
      </c>
      <c r="AV7" s="70">
        <v>43</v>
      </c>
      <c r="AW7" s="70">
        <v>45</v>
      </c>
      <c r="AX7" s="70">
        <v>18</v>
      </c>
      <c r="AY7" s="70">
        <v>32</v>
      </c>
      <c r="AZ7" s="70">
        <v>9</v>
      </c>
      <c r="BA7" s="70">
        <v>52</v>
      </c>
      <c r="BB7" s="70">
        <v>29.251701354980469</v>
      </c>
      <c r="BC7" s="70">
        <v>30.612245559692383</v>
      </c>
      <c r="BD7" s="70">
        <v>12.244897842407227</v>
      </c>
      <c r="BE7" s="70">
        <v>21.768707275390625</v>
      </c>
      <c r="BF7" s="70">
        <v>6.1224489212036133</v>
      </c>
    </row>
    <row r="8" spans="1:58" x14ac:dyDescent="0.25">
      <c r="A8" s="71" t="s">
        <v>92</v>
      </c>
      <c r="B8" s="71" t="s">
        <v>93</v>
      </c>
      <c r="C8" s="72">
        <v>32</v>
      </c>
      <c r="D8" s="72">
        <v>1</v>
      </c>
      <c r="E8" s="72">
        <v>82</v>
      </c>
      <c r="F8" s="72">
        <v>96.969696044921875</v>
      </c>
      <c r="G8" s="72">
        <v>3.0303030014038086</v>
      </c>
      <c r="H8" s="72">
        <v>107</v>
      </c>
      <c r="I8" s="72">
        <v>2</v>
      </c>
      <c r="J8" s="72">
        <v>1</v>
      </c>
      <c r="K8" s="72"/>
      <c r="L8" s="72"/>
      <c r="M8" s="72">
        <v>5</v>
      </c>
      <c r="N8" s="72">
        <v>97.272727966308594</v>
      </c>
      <c r="O8" s="72">
        <v>1.8181818723678589</v>
      </c>
      <c r="P8" s="72">
        <v>0.90909093618392944</v>
      </c>
      <c r="Q8" s="72"/>
      <c r="R8" s="72"/>
      <c r="S8" s="72">
        <v>2</v>
      </c>
      <c r="T8" s="72">
        <v>9</v>
      </c>
      <c r="U8" s="72">
        <v>12</v>
      </c>
      <c r="V8" s="72">
        <v>33</v>
      </c>
      <c r="W8" s="72">
        <v>59</v>
      </c>
      <c r="X8" s="72">
        <v>1.7391303777694702</v>
      </c>
      <c r="Y8" s="72">
        <v>7.8260869979858398</v>
      </c>
      <c r="Z8" s="72">
        <v>10.434782981872559</v>
      </c>
      <c r="AA8" s="72">
        <v>28.695652008056641</v>
      </c>
      <c r="AB8" s="72">
        <v>51.304347991943359</v>
      </c>
      <c r="AC8" s="72">
        <v>14</v>
      </c>
      <c r="AD8" s="72">
        <v>1</v>
      </c>
      <c r="AE8" s="72">
        <v>65</v>
      </c>
      <c r="AF8" s="72">
        <v>35</v>
      </c>
      <c r="AG8" s="72">
        <v>12.17391300201416</v>
      </c>
      <c r="AH8" s="72">
        <v>0.86956518888473511</v>
      </c>
      <c r="AI8" s="72">
        <v>56.521739959716797</v>
      </c>
      <c r="AJ8" s="72">
        <v>30.434782028198242</v>
      </c>
      <c r="AK8" s="72">
        <v>18</v>
      </c>
      <c r="AL8" s="72">
        <v>9</v>
      </c>
      <c r="AM8" s="72">
        <v>11</v>
      </c>
      <c r="AN8" s="72">
        <v>9</v>
      </c>
      <c r="AO8" s="72">
        <v>56</v>
      </c>
      <c r="AP8" s="72">
        <v>12</v>
      </c>
      <c r="AQ8" s="72">
        <v>17.475728988647461</v>
      </c>
      <c r="AR8" s="72">
        <v>8.7378644943237305</v>
      </c>
      <c r="AS8" s="72">
        <v>10.679611206054688</v>
      </c>
      <c r="AT8" s="72">
        <v>8.7378644943237305</v>
      </c>
      <c r="AU8" s="72">
        <v>54.368930816650391</v>
      </c>
      <c r="AV8" s="72">
        <v>41</v>
      </c>
      <c r="AW8" s="72">
        <v>36</v>
      </c>
      <c r="AX8" s="72">
        <v>11</v>
      </c>
      <c r="AY8" s="72">
        <v>14</v>
      </c>
      <c r="AZ8" s="72">
        <v>5</v>
      </c>
      <c r="BA8" s="72">
        <v>8</v>
      </c>
      <c r="BB8" s="72">
        <v>38.317756652832031</v>
      </c>
      <c r="BC8" s="72">
        <v>33.644859313964844</v>
      </c>
      <c r="BD8" s="72">
        <v>10.280373573303223</v>
      </c>
      <c r="BE8" s="72">
        <v>13.084112167358398</v>
      </c>
      <c r="BF8" s="72">
        <v>4.6728973388671875</v>
      </c>
    </row>
    <row r="9" spans="1:58" x14ac:dyDescent="0.25">
      <c r="A9" s="69" t="s">
        <v>94</v>
      </c>
      <c r="B9" s="69" t="s">
        <v>95</v>
      </c>
      <c r="C9" s="70">
        <v>37</v>
      </c>
      <c r="D9" s="70">
        <v>5</v>
      </c>
      <c r="E9" s="70">
        <v>52</v>
      </c>
      <c r="F9" s="70">
        <v>88.095237731933594</v>
      </c>
      <c r="G9" s="70">
        <v>11.904762268066406</v>
      </c>
      <c r="H9" s="70">
        <v>67</v>
      </c>
      <c r="I9" s="70">
        <v>7</v>
      </c>
      <c r="J9" s="70">
        <v>4</v>
      </c>
      <c r="K9" s="70">
        <v>2</v>
      </c>
      <c r="L9" s="70">
        <v>3</v>
      </c>
      <c r="M9" s="70">
        <v>11</v>
      </c>
      <c r="N9" s="70">
        <v>80.722892761230469</v>
      </c>
      <c r="O9" s="70">
        <v>8.4337348937988281</v>
      </c>
      <c r="P9" s="70">
        <v>4.819277286529541</v>
      </c>
      <c r="Q9" s="70">
        <v>2.4096386432647705</v>
      </c>
      <c r="R9" s="70">
        <v>3.6144578456878662</v>
      </c>
      <c r="S9" s="70">
        <v>5</v>
      </c>
      <c r="T9" s="70">
        <v>19</v>
      </c>
      <c r="U9" s="70">
        <v>36</v>
      </c>
      <c r="V9" s="70">
        <v>24</v>
      </c>
      <c r="W9" s="70">
        <v>10</v>
      </c>
      <c r="X9" s="70">
        <v>5.3191490173339844</v>
      </c>
      <c r="Y9" s="70">
        <v>20.212766647338867</v>
      </c>
      <c r="Z9" s="70">
        <v>38.297870635986328</v>
      </c>
      <c r="AA9" s="70">
        <v>25.531915664672852</v>
      </c>
      <c r="AB9" s="70">
        <v>10.638298034667969</v>
      </c>
      <c r="AC9" s="70">
        <v>5</v>
      </c>
      <c r="AD9" s="70"/>
      <c r="AE9" s="70">
        <v>53</v>
      </c>
      <c r="AF9" s="70">
        <v>36</v>
      </c>
      <c r="AG9" s="70">
        <v>5.3191490173339844</v>
      </c>
      <c r="AH9" s="70"/>
      <c r="AI9" s="70">
        <v>56.382980346679688</v>
      </c>
      <c r="AJ9" s="70">
        <v>38.297870635986328</v>
      </c>
      <c r="AK9" s="70">
        <v>10</v>
      </c>
      <c r="AL9" s="70">
        <v>11</v>
      </c>
      <c r="AM9" s="70">
        <v>11</v>
      </c>
      <c r="AN9" s="70">
        <v>10</v>
      </c>
      <c r="AO9" s="70">
        <v>50</v>
      </c>
      <c r="AP9" s="70">
        <v>2</v>
      </c>
      <c r="AQ9" s="70">
        <v>10.869565010070801</v>
      </c>
      <c r="AR9" s="70">
        <v>11.956521987915039</v>
      </c>
      <c r="AS9" s="70">
        <v>11.956521987915039</v>
      </c>
      <c r="AT9" s="70">
        <v>10.869565010070801</v>
      </c>
      <c r="AU9" s="70">
        <v>54.347827911376953</v>
      </c>
      <c r="AV9" s="70">
        <v>25</v>
      </c>
      <c r="AW9" s="70">
        <v>25</v>
      </c>
      <c r="AX9" s="70">
        <v>15</v>
      </c>
      <c r="AY9" s="70">
        <v>14</v>
      </c>
      <c r="AZ9" s="70">
        <v>6</v>
      </c>
      <c r="BA9" s="70">
        <v>9</v>
      </c>
      <c r="BB9" s="70">
        <v>29.411764144897461</v>
      </c>
      <c r="BC9" s="70">
        <v>29.411764144897461</v>
      </c>
      <c r="BD9" s="70">
        <v>17.647058486938477</v>
      </c>
      <c r="BE9" s="70">
        <v>16.470588684082031</v>
      </c>
      <c r="BF9" s="70">
        <v>7.0588235855102539</v>
      </c>
    </row>
    <row r="10" spans="1:58" x14ac:dyDescent="0.25">
      <c r="A10" s="71" t="s">
        <v>96</v>
      </c>
      <c r="B10" s="71" t="s">
        <v>97</v>
      </c>
      <c r="C10" s="72">
        <v>67</v>
      </c>
      <c r="D10" s="72">
        <v>4</v>
      </c>
      <c r="E10" s="72">
        <v>266</v>
      </c>
      <c r="F10" s="72">
        <v>94.366195678710938</v>
      </c>
      <c r="G10" s="72">
        <v>5.6338028907775879</v>
      </c>
      <c r="H10" s="72">
        <v>297</v>
      </c>
      <c r="I10" s="72">
        <v>7</v>
      </c>
      <c r="J10" s="72">
        <v>8</v>
      </c>
      <c r="K10" s="72">
        <v>7</v>
      </c>
      <c r="L10" s="72">
        <v>5</v>
      </c>
      <c r="M10" s="72">
        <v>13</v>
      </c>
      <c r="N10" s="72">
        <v>91.666664123535156</v>
      </c>
      <c r="O10" s="72">
        <v>2.1604938507080078</v>
      </c>
      <c r="P10" s="72">
        <v>2.4691357612609863</v>
      </c>
      <c r="Q10" s="72">
        <v>2.1604938507080078</v>
      </c>
      <c r="R10" s="72">
        <v>1.5432099103927612</v>
      </c>
      <c r="S10" s="72">
        <v>87</v>
      </c>
      <c r="T10" s="72">
        <v>69</v>
      </c>
      <c r="U10" s="72">
        <v>51</v>
      </c>
      <c r="V10" s="72">
        <v>90</v>
      </c>
      <c r="W10" s="72">
        <v>40</v>
      </c>
      <c r="X10" s="72">
        <v>25.816022872924805</v>
      </c>
      <c r="Y10" s="72">
        <v>20.474777221679688</v>
      </c>
      <c r="Z10" s="72">
        <v>15.13353157043457</v>
      </c>
      <c r="AA10" s="72">
        <v>26.706232070922852</v>
      </c>
      <c r="AB10" s="72">
        <v>11.869436264038086</v>
      </c>
      <c r="AC10" s="72">
        <v>24</v>
      </c>
      <c r="AD10" s="72">
        <v>6</v>
      </c>
      <c r="AE10" s="72">
        <v>183</v>
      </c>
      <c r="AF10" s="72">
        <v>124</v>
      </c>
      <c r="AG10" s="72">
        <v>7.1216616630554199</v>
      </c>
      <c r="AH10" s="72">
        <v>1.780415415763855</v>
      </c>
      <c r="AI10" s="72">
        <v>54.302669525146484</v>
      </c>
      <c r="AJ10" s="72">
        <v>36.795253753662109</v>
      </c>
      <c r="AK10" s="72">
        <v>72</v>
      </c>
      <c r="AL10" s="72">
        <v>23</v>
      </c>
      <c r="AM10" s="72">
        <v>26</v>
      </c>
      <c r="AN10" s="72">
        <v>21</v>
      </c>
      <c r="AO10" s="72">
        <v>110</v>
      </c>
      <c r="AP10" s="72">
        <v>85</v>
      </c>
      <c r="AQ10" s="72">
        <v>28.571428298950195</v>
      </c>
      <c r="AR10" s="72">
        <v>9.1269845962524414</v>
      </c>
      <c r="AS10" s="72">
        <v>10.317460060119629</v>
      </c>
      <c r="AT10" s="72">
        <v>8.3333330154418945</v>
      </c>
      <c r="AU10" s="72">
        <v>43.650794982910156</v>
      </c>
      <c r="AV10" s="72">
        <v>81</v>
      </c>
      <c r="AW10" s="72">
        <v>77</v>
      </c>
      <c r="AX10" s="72">
        <v>56</v>
      </c>
      <c r="AY10" s="72">
        <v>75</v>
      </c>
      <c r="AZ10" s="72">
        <v>8</v>
      </c>
      <c r="BA10" s="72">
        <v>40</v>
      </c>
      <c r="BB10" s="72">
        <v>27.272727966308594</v>
      </c>
      <c r="BC10" s="72">
        <v>25.925926208496094</v>
      </c>
      <c r="BD10" s="72">
        <v>18.855218887329102</v>
      </c>
      <c r="BE10" s="72">
        <v>25.252525329589844</v>
      </c>
      <c r="BF10" s="72">
        <v>2.6936028003692627</v>
      </c>
    </row>
    <row r="11" spans="1:58" x14ac:dyDescent="0.25">
      <c r="A11" s="69" t="s">
        <v>99</v>
      </c>
      <c r="B11" s="69" t="s">
        <v>100</v>
      </c>
      <c r="C11" s="70">
        <v>50</v>
      </c>
      <c r="D11" s="70">
        <v>11</v>
      </c>
      <c r="E11" s="70">
        <v>158</v>
      </c>
      <c r="F11" s="70">
        <v>81.967216491699219</v>
      </c>
      <c r="G11" s="70">
        <v>18.032787322998047</v>
      </c>
      <c r="H11" s="70">
        <v>211</v>
      </c>
      <c r="I11" s="70"/>
      <c r="J11" s="70"/>
      <c r="K11" s="70">
        <v>1</v>
      </c>
      <c r="L11" s="70">
        <v>1</v>
      </c>
      <c r="M11" s="70">
        <v>6</v>
      </c>
      <c r="N11" s="70">
        <v>99.06103515625</v>
      </c>
      <c r="O11" s="70"/>
      <c r="P11" s="70"/>
      <c r="Q11" s="70">
        <v>0.46948355436325073</v>
      </c>
      <c r="R11" s="70">
        <v>0.46948355436325073</v>
      </c>
      <c r="S11" s="70">
        <v>48</v>
      </c>
      <c r="T11" s="70">
        <v>60</v>
      </c>
      <c r="U11" s="70">
        <v>48</v>
      </c>
      <c r="V11" s="70">
        <v>44</v>
      </c>
      <c r="W11" s="70">
        <v>19</v>
      </c>
      <c r="X11" s="70">
        <v>21.917808532714844</v>
      </c>
      <c r="Y11" s="70">
        <v>27.397260665893555</v>
      </c>
      <c r="Z11" s="70">
        <v>21.917808532714844</v>
      </c>
      <c r="AA11" s="70">
        <v>20.091323852539063</v>
      </c>
      <c r="AB11" s="70">
        <v>8.6757993698120117</v>
      </c>
      <c r="AC11" s="70">
        <v>12</v>
      </c>
      <c r="AD11" s="70">
        <v>3</v>
      </c>
      <c r="AE11" s="70">
        <v>167</v>
      </c>
      <c r="AF11" s="70">
        <v>37</v>
      </c>
      <c r="AG11" s="70">
        <v>5.4794521331787109</v>
      </c>
      <c r="AH11" s="70">
        <v>1.3698630332946777</v>
      </c>
      <c r="AI11" s="70">
        <v>76.255706787109375</v>
      </c>
      <c r="AJ11" s="70">
        <v>16.894977569580078</v>
      </c>
      <c r="AK11" s="70">
        <v>47</v>
      </c>
      <c r="AL11" s="70">
        <v>20</v>
      </c>
      <c r="AM11" s="70">
        <v>26</v>
      </c>
      <c r="AN11" s="70">
        <v>12</v>
      </c>
      <c r="AO11" s="70">
        <v>86</v>
      </c>
      <c r="AP11" s="70">
        <v>28</v>
      </c>
      <c r="AQ11" s="70">
        <v>24.607330322265625</v>
      </c>
      <c r="AR11" s="70">
        <v>10.471203804016113</v>
      </c>
      <c r="AS11" s="70">
        <v>13.612565040588379</v>
      </c>
      <c r="AT11" s="70">
        <v>6.2827224731445313</v>
      </c>
      <c r="AU11" s="70">
        <v>45.026176452636719</v>
      </c>
      <c r="AV11" s="70">
        <v>29</v>
      </c>
      <c r="AW11" s="70">
        <v>53</v>
      </c>
      <c r="AX11" s="70">
        <v>39</v>
      </c>
      <c r="AY11" s="70">
        <v>41</v>
      </c>
      <c r="AZ11" s="70">
        <v>3</v>
      </c>
      <c r="BA11" s="70">
        <v>54</v>
      </c>
      <c r="BB11" s="70">
        <v>17.57575798034668</v>
      </c>
      <c r="BC11" s="70">
        <v>32.121212005615234</v>
      </c>
      <c r="BD11" s="70">
        <v>23.636363983154297</v>
      </c>
      <c r="BE11" s="70">
        <v>24.848484039306641</v>
      </c>
      <c r="BF11" s="70">
        <v>1.8181818723678589</v>
      </c>
    </row>
    <row r="12" spans="1:58" x14ac:dyDescent="0.25">
      <c r="A12" s="71" t="s">
        <v>101</v>
      </c>
      <c r="B12" s="71" t="s">
        <v>102</v>
      </c>
      <c r="C12" s="72">
        <v>123</v>
      </c>
      <c r="D12" s="72">
        <v>7</v>
      </c>
      <c r="E12" s="72">
        <v>115</v>
      </c>
      <c r="F12" s="72">
        <v>94.615386962890625</v>
      </c>
      <c r="G12" s="72">
        <v>5.384615421295166</v>
      </c>
      <c r="H12" s="72">
        <v>223</v>
      </c>
      <c r="I12" s="72">
        <v>2</v>
      </c>
      <c r="J12" s="72">
        <v>14</v>
      </c>
      <c r="K12" s="72"/>
      <c r="L12" s="72">
        <v>4</v>
      </c>
      <c r="M12" s="72">
        <v>2</v>
      </c>
      <c r="N12" s="72">
        <v>91.769546508789063</v>
      </c>
      <c r="O12" s="72">
        <v>0.82304525375366211</v>
      </c>
      <c r="P12" s="72">
        <v>5.7613167762756348</v>
      </c>
      <c r="Q12" s="72"/>
      <c r="R12" s="72">
        <v>1.6460905075073242</v>
      </c>
      <c r="S12" s="72">
        <v>127</v>
      </c>
      <c r="T12" s="72">
        <v>57</v>
      </c>
      <c r="U12" s="72">
        <v>34</v>
      </c>
      <c r="V12" s="72">
        <v>18</v>
      </c>
      <c r="W12" s="72">
        <v>9</v>
      </c>
      <c r="X12" s="72">
        <v>51.836734771728516</v>
      </c>
      <c r="Y12" s="72">
        <v>23.26530647277832</v>
      </c>
      <c r="Z12" s="72">
        <v>13.877551078796387</v>
      </c>
      <c r="AA12" s="72">
        <v>7.3469386100769043</v>
      </c>
      <c r="AB12" s="72">
        <v>3.6734693050384521</v>
      </c>
      <c r="AC12" s="72">
        <v>26</v>
      </c>
      <c r="AD12" s="72">
        <v>1</v>
      </c>
      <c r="AE12" s="72">
        <v>214</v>
      </c>
      <c r="AF12" s="72">
        <v>4</v>
      </c>
      <c r="AG12" s="72">
        <v>10.612244606018066</v>
      </c>
      <c r="AH12" s="72">
        <v>0.40816327929496765</v>
      </c>
      <c r="AI12" s="72">
        <v>87.346939086914063</v>
      </c>
      <c r="AJ12" s="72">
        <v>1.6326531171798706</v>
      </c>
      <c r="AK12" s="72">
        <v>49</v>
      </c>
      <c r="AL12" s="72">
        <v>14</v>
      </c>
      <c r="AM12" s="72">
        <v>23</v>
      </c>
      <c r="AN12" s="72">
        <v>29</v>
      </c>
      <c r="AO12" s="72">
        <v>118</v>
      </c>
      <c r="AP12" s="72">
        <v>12</v>
      </c>
      <c r="AQ12" s="72">
        <v>21.03004264831543</v>
      </c>
      <c r="AR12" s="72">
        <v>6.0085835456848145</v>
      </c>
      <c r="AS12" s="72">
        <v>9.8712444305419922</v>
      </c>
      <c r="AT12" s="72">
        <v>12.446352005004883</v>
      </c>
      <c r="AU12" s="72">
        <v>50.643775939941406</v>
      </c>
      <c r="AV12" s="72">
        <v>38</v>
      </c>
      <c r="AW12" s="72">
        <v>61</v>
      </c>
      <c r="AX12" s="72">
        <v>48</v>
      </c>
      <c r="AY12" s="72">
        <v>56</v>
      </c>
      <c r="AZ12" s="72">
        <v>11</v>
      </c>
      <c r="BA12" s="72">
        <v>31</v>
      </c>
      <c r="BB12" s="72">
        <v>17.757009506225586</v>
      </c>
      <c r="BC12" s="72">
        <v>28.504673004150391</v>
      </c>
      <c r="BD12" s="72">
        <v>22.429906845092773</v>
      </c>
      <c r="BE12" s="72">
        <v>26.168224334716797</v>
      </c>
      <c r="BF12" s="72">
        <v>5.1401867866516113</v>
      </c>
    </row>
    <row r="13" spans="1:58" x14ac:dyDescent="0.25">
      <c r="A13" s="69" t="s">
        <v>103</v>
      </c>
      <c r="B13" s="69" t="s">
        <v>104</v>
      </c>
      <c r="C13" s="70">
        <v>225</v>
      </c>
      <c r="D13" s="70">
        <v>11</v>
      </c>
      <c r="E13" s="70">
        <v>389</v>
      </c>
      <c r="F13" s="70">
        <v>95.338981628417969</v>
      </c>
      <c r="G13" s="70">
        <v>4.6610169410705566</v>
      </c>
      <c r="H13" s="70">
        <v>566</v>
      </c>
      <c r="I13" s="70">
        <v>11</v>
      </c>
      <c r="J13" s="70">
        <v>6</v>
      </c>
      <c r="K13" s="70">
        <v>8</v>
      </c>
      <c r="L13" s="70">
        <v>18</v>
      </c>
      <c r="M13" s="70">
        <v>16</v>
      </c>
      <c r="N13" s="70">
        <v>92.939247131347656</v>
      </c>
      <c r="O13" s="70">
        <v>1.8062397241592407</v>
      </c>
      <c r="P13" s="70">
        <v>0.98522168397903442</v>
      </c>
      <c r="Q13" s="70">
        <v>1.3136289119720459</v>
      </c>
      <c r="R13" s="70">
        <v>2.955665111541748</v>
      </c>
      <c r="S13" s="70">
        <v>90</v>
      </c>
      <c r="T13" s="70">
        <v>140</v>
      </c>
      <c r="U13" s="70">
        <v>135</v>
      </c>
      <c r="V13" s="70">
        <v>145</v>
      </c>
      <c r="W13" s="70">
        <v>115</v>
      </c>
      <c r="X13" s="70">
        <v>14.399999618530273</v>
      </c>
      <c r="Y13" s="70">
        <v>22.399999618530273</v>
      </c>
      <c r="Z13" s="70">
        <v>21.600000381469727</v>
      </c>
      <c r="AA13" s="70">
        <v>23.200000762939453</v>
      </c>
      <c r="AB13" s="70">
        <v>18.399999618530273</v>
      </c>
      <c r="AC13" s="70">
        <v>41</v>
      </c>
      <c r="AD13" s="70">
        <v>14</v>
      </c>
      <c r="AE13" s="70">
        <v>348</v>
      </c>
      <c r="AF13" s="70">
        <v>222</v>
      </c>
      <c r="AG13" s="70">
        <v>6.559999942779541</v>
      </c>
      <c r="AH13" s="70">
        <v>2.2400000095367432</v>
      </c>
      <c r="AI13" s="70">
        <v>55.680000305175781</v>
      </c>
      <c r="AJ13" s="70">
        <v>35.520000457763672</v>
      </c>
      <c r="AK13" s="70">
        <v>105</v>
      </c>
      <c r="AL13" s="70">
        <v>39</v>
      </c>
      <c r="AM13" s="70">
        <v>48</v>
      </c>
      <c r="AN13" s="70">
        <v>71</v>
      </c>
      <c r="AO13" s="70">
        <v>311</v>
      </c>
      <c r="AP13" s="70">
        <v>51</v>
      </c>
      <c r="AQ13" s="70">
        <v>18.292682647705078</v>
      </c>
      <c r="AR13" s="70">
        <v>6.7944250106811523</v>
      </c>
      <c r="AS13" s="70">
        <v>8.3623695373535156</v>
      </c>
      <c r="AT13" s="70">
        <v>12.369338035583496</v>
      </c>
      <c r="AU13" s="70">
        <v>54.181182861328125</v>
      </c>
      <c r="AV13" s="70">
        <v>37</v>
      </c>
      <c r="AW13" s="70">
        <v>190</v>
      </c>
      <c r="AX13" s="70">
        <v>64</v>
      </c>
      <c r="AY13" s="70">
        <v>101</v>
      </c>
      <c r="AZ13" s="70">
        <v>43</v>
      </c>
      <c r="BA13" s="70">
        <v>190</v>
      </c>
      <c r="BB13" s="70">
        <v>8.5057468414306641</v>
      </c>
      <c r="BC13" s="70">
        <v>43.67816162109375</v>
      </c>
      <c r="BD13" s="70">
        <v>14.712643623352051</v>
      </c>
      <c r="BE13" s="70">
        <v>23.218391418457031</v>
      </c>
      <c r="BF13" s="70">
        <v>9.8850574493408203</v>
      </c>
    </row>
    <row r="14" spans="1:58" x14ac:dyDescent="0.25">
      <c r="A14" s="71" t="s">
        <v>105</v>
      </c>
      <c r="B14" s="71" t="s">
        <v>106</v>
      </c>
      <c r="C14" s="72">
        <v>177</v>
      </c>
      <c r="D14" s="72">
        <v>29</v>
      </c>
      <c r="E14" s="72">
        <v>56</v>
      </c>
      <c r="F14" s="72">
        <v>85.922332763671875</v>
      </c>
      <c r="G14" s="72">
        <v>14.077670097351074</v>
      </c>
      <c r="H14" s="72">
        <v>193</v>
      </c>
      <c r="I14" s="72">
        <v>2</v>
      </c>
      <c r="J14" s="72">
        <v>21</v>
      </c>
      <c r="K14" s="72">
        <v>10</v>
      </c>
      <c r="L14" s="72">
        <v>28</v>
      </c>
      <c r="M14" s="72">
        <v>8</v>
      </c>
      <c r="N14" s="72">
        <v>75.9842529296875</v>
      </c>
      <c r="O14" s="72">
        <v>0.78740155696868896</v>
      </c>
      <c r="P14" s="72">
        <v>8.2677164077758789</v>
      </c>
      <c r="Q14" s="72">
        <v>3.9370079040527344</v>
      </c>
      <c r="R14" s="72">
        <v>11.023622512817383</v>
      </c>
      <c r="S14" s="72">
        <v>24</v>
      </c>
      <c r="T14" s="72">
        <v>55</v>
      </c>
      <c r="U14" s="72">
        <v>78</v>
      </c>
      <c r="V14" s="72">
        <v>64</v>
      </c>
      <c r="W14" s="72">
        <v>41</v>
      </c>
      <c r="X14" s="72">
        <v>9.1603050231933594</v>
      </c>
      <c r="Y14" s="72">
        <v>20.992366790771484</v>
      </c>
      <c r="Z14" s="72">
        <v>29.770992279052734</v>
      </c>
      <c r="AA14" s="72">
        <v>24.427480697631836</v>
      </c>
      <c r="AB14" s="72">
        <v>15.648855209350586</v>
      </c>
      <c r="AC14" s="72">
        <v>19</v>
      </c>
      <c r="AD14" s="72">
        <v>2</v>
      </c>
      <c r="AE14" s="72">
        <v>187</v>
      </c>
      <c r="AF14" s="72">
        <v>54</v>
      </c>
      <c r="AG14" s="72">
        <v>7.2519083023071289</v>
      </c>
      <c r="AH14" s="72">
        <v>0.76335877180099487</v>
      </c>
      <c r="AI14" s="72">
        <v>71.374046325683594</v>
      </c>
      <c r="AJ14" s="72">
        <v>20.610687255859375</v>
      </c>
      <c r="AK14" s="72">
        <v>57</v>
      </c>
      <c r="AL14" s="72">
        <v>20</v>
      </c>
      <c r="AM14" s="72">
        <v>26</v>
      </c>
      <c r="AN14" s="72">
        <v>26</v>
      </c>
      <c r="AO14" s="72">
        <v>116</v>
      </c>
      <c r="AP14" s="72">
        <v>17</v>
      </c>
      <c r="AQ14" s="72">
        <v>23.26530647277832</v>
      </c>
      <c r="AR14" s="72">
        <v>8.1632652282714844</v>
      </c>
      <c r="AS14" s="72">
        <v>10.612244606018066</v>
      </c>
      <c r="AT14" s="72">
        <v>10.612244606018066</v>
      </c>
      <c r="AU14" s="72">
        <v>47.346939086914063</v>
      </c>
      <c r="AV14" s="72">
        <v>74</v>
      </c>
      <c r="AW14" s="72">
        <v>77</v>
      </c>
      <c r="AX14" s="72">
        <v>35</v>
      </c>
      <c r="AY14" s="72">
        <v>38</v>
      </c>
      <c r="AZ14" s="72">
        <v>21</v>
      </c>
      <c r="BA14" s="72">
        <v>17</v>
      </c>
      <c r="BB14" s="72">
        <v>30.204082489013672</v>
      </c>
      <c r="BC14" s="72">
        <v>31.428571701049805</v>
      </c>
      <c r="BD14" s="72">
        <v>14.285714149475098</v>
      </c>
      <c r="BE14" s="72">
        <v>15.510204315185547</v>
      </c>
      <c r="BF14" s="72">
        <v>8.5714282989501953</v>
      </c>
    </row>
    <row r="15" spans="1:58" x14ac:dyDescent="0.25">
      <c r="A15" s="69" t="s">
        <v>107</v>
      </c>
      <c r="B15" s="69" t="s">
        <v>108</v>
      </c>
      <c r="C15" s="70">
        <v>9</v>
      </c>
      <c r="D15" s="70"/>
      <c r="E15" s="70">
        <v>117</v>
      </c>
      <c r="F15" s="70"/>
      <c r="G15" s="70"/>
      <c r="H15" s="70">
        <v>95</v>
      </c>
      <c r="I15" s="70">
        <v>1</v>
      </c>
      <c r="J15" s="70">
        <v>8</v>
      </c>
      <c r="K15" s="70">
        <v>9</v>
      </c>
      <c r="L15" s="70">
        <v>11</v>
      </c>
      <c r="M15" s="70">
        <v>2</v>
      </c>
      <c r="N15" s="70">
        <v>76.612899780273438</v>
      </c>
      <c r="O15" s="70">
        <v>0.80645161867141724</v>
      </c>
      <c r="P15" s="70">
        <v>6.4516129493713379</v>
      </c>
      <c r="Q15" s="70">
        <v>7.2580647468566895</v>
      </c>
      <c r="R15" s="70">
        <v>8.8709678649902344</v>
      </c>
      <c r="S15" s="70">
        <v>43</v>
      </c>
      <c r="T15" s="70">
        <v>45</v>
      </c>
      <c r="U15" s="70">
        <v>22</v>
      </c>
      <c r="V15" s="70">
        <v>12</v>
      </c>
      <c r="W15" s="70">
        <v>4</v>
      </c>
      <c r="X15" s="70">
        <v>34.126983642578125</v>
      </c>
      <c r="Y15" s="70">
        <v>35.714286804199219</v>
      </c>
      <c r="Z15" s="70">
        <v>17.460317611694336</v>
      </c>
      <c r="AA15" s="70">
        <v>9.5238094329833984</v>
      </c>
      <c r="AB15" s="70">
        <v>3.1746032238006592</v>
      </c>
      <c r="AC15" s="70">
        <v>11</v>
      </c>
      <c r="AD15" s="70">
        <v>2</v>
      </c>
      <c r="AE15" s="70">
        <v>93</v>
      </c>
      <c r="AF15" s="70">
        <v>20</v>
      </c>
      <c r="AG15" s="70">
        <v>8.730158805847168</v>
      </c>
      <c r="AH15" s="70">
        <v>1.5873016119003296</v>
      </c>
      <c r="AI15" s="70">
        <v>73.809524536132813</v>
      </c>
      <c r="AJ15" s="70">
        <v>15.873015403747559</v>
      </c>
      <c r="AK15" s="70">
        <v>15</v>
      </c>
      <c r="AL15" s="70">
        <v>8</v>
      </c>
      <c r="AM15" s="70">
        <v>18</v>
      </c>
      <c r="AN15" s="70">
        <v>15</v>
      </c>
      <c r="AO15" s="70">
        <v>52</v>
      </c>
      <c r="AP15" s="70">
        <v>18</v>
      </c>
      <c r="AQ15" s="70">
        <v>13.888889312744141</v>
      </c>
      <c r="AR15" s="70">
        <v>7.407407283782959</v>
      </c>
      <c r="AS15" s="70">
        <v>16.666666030883789</v>
      </c>
      <c r="AT15" s="70">
        <v>13.888889312744141</v>
      </c>
      <c r="AU15" s="70">
        <v>48.148147583007813</v>
      </c>
      <c r="AV15" s="70">
        <v>9</v>
      </c>
      <c r="AW15" s="70">
        <v>19</v>
      </c>
      <c r="AX15" s="70">
        <v>14</v>
      </c>
      <c r="AY15" s="70">
        <v>10</v>
      </c>
      <c r="AZ15" s="70">
        <v>4</v>
      </c>
      <c r="BA15" s="70">
        <v>70</v>
      </c>
      <c r="BB15" s="70">
        <v>16.071428298950195</v>
      </c>
      <c r="BC15" s="70">
        <v>33.928569793701172</v>
      </c>
      <c r="BD15" s="70">
        <v>25</v>
      </c>
      <c r="BE15" s="70">
        <v>17.857143402099609</v>
      </c>
      <c r="BF15" s="70">
        <v>7.1428570747375488</v>
      </c>
    </row>
    <row r="16" spans="1:58" x14ac:dyDescent="0.25">
      <c r="A16" s="71" t="s">
        <v>109</v>
      </c>
      <c r="B16" s="71" t="s">
        <v>110</v>
      </c>
      <c r="C16" s="72">
        <v>10</v>
      </c>
      <c r="D16" s="72">
        <v>1</v>
      </c>
      <c r="E16" s="72">
        <v>96</v>
      </c>
      <c r="F16" s="72">
        <v>90.909088134765625</v>
      </c>
      <c r="G16" s="72">
        <v>9.0909090042114258</v>
      </c>
      <c r="H16" s="72">
        <v>86</v>
      </c>
      <c r="I16" s="72"/>
      <c r="J16" s="72">
        <v>8</v>
      </c>
      <c r="K16" s="72">
        <v>4</v>
      </c>
      <c r="L16" s="72">
        <v>9</v>
      </c>
      <c r="M16" s="72"/>
      <c r="N16" s="72">
        <v>80.373832702636719</v>
      </c>
      <c r="O16" s="72"/>
      <c r="P16" s="72">
        <v>7.4766354560852051</v>
      </c>
      <c r="Q16" s="72">
        <v>3.7383177280426025</v>
      </c>
      <c r="R16" s="72">
        <v>8.4112148284912109</v>
      </c>
      <c r="S16" s="72">
        <v>7</v>
      </c>
      <c r="T16" s="72">
        <v>45</v>
      </c>
      <c r="U16" s="72">
        <v>21</v>
      </c>
      <c r="V16" s="72">
        <v>14</v>
      </c>
      <c r="W16" s="72">
        <v>20</v>
      </c>
      <c r="X16" s="72">
        <v>6.5420560836791992</v>
      </c>
      <c r="Y16" s="72">
        <v>42.056076049804688</v>
      </c>
      <c r="Z16" s="72">
        <v>19.626167297363281</v>
      </c>
      <c r="AA16" s="72">
        <v>13.084112167358398</v>
      </c>
      <c r="AB16" s="72">
        <v>18.69158935546875</v>
      </c>
      <c r="AC16" s="72">
        <v>6</v>
      </c>
      <c r="AD16" s="72">
        <v>2</v>
      </c>
      <c r="AE16" s="72">
        <v>36</v>
      </c>
      <c r="AF16" s="72">
        <v>63</v>
      </c>
      <c r="AG16" s="72">
        <v>5.6074767112731934</v>
      </c>
      <c r="AH16" s="72">
        <v>1.8691588640213013</v>
      </c>
      <c r="AI16" s="72">
        <v>33.644859313964844</v>
      </c>
      <c r="AJ16" s="72">
        <v>58.878505706787109</v>
      </c>
      <c r="AK16" s="72">
        <v>13</v>
      </c>
      <c r="AL16" s="72">
        <v>7</v>
      </c>
      <c r="AM16" s="72">
        <v>11</v>
      </c>
      <c r="AN16" s="72">
        <v>6</v>
      </c>
      <c r="AO16" s="72">
        <v>61</v>
      </c>
      <c r="AP16" s="72">
        <v>9</v>
      </c>
      <c r="AQ16" s="72">
        <v>13.26530647277832</v>
      </c>
      <c r="AR16" s="72">
        <v>7.1428570747375488</v>
      </c>
      <c r="AS16" s="72">
        <v>11.224490165710449</v>
      </c>
      <c r="AT16" s="72">
        <v>6.1224489212036133</v>
      </c>
      <c r="AU16" s="72">
        <v>62.244899749755859</v>
      </c>
      <c r="AV16" s="72">
        <v>15</v>
      </c>
      <c r="AW16" s="72">
        <v>32</v>
      </c>
      <c r="AX16" s="72">
        <v>20</v>
      </c>
      <c r="AY16" s="72">
        <v>22</v>
      </c>
      <c r="AZ16" s="72">
        <v>6</v>
      </c>
      <c r="BA16" s="72">
        <v>12</v>
      </c>
      <c r="BB16" s="72">
        <v>15.789473533630371</v>
      </c>
      <c r="BC16" s="72">
        <v>33.684211730957031</v>
      </c>
      <c r="BD16" s="72">
        <v>21.052631378173828</v>
      </c>
      <c r="BE16" s="72">
        <v>23.157894134521484</v>
      </c>
      <c r="BF16" s="72">
        <v>6.3157896995544434</v>
      </c>
    </row>
    <row r="17" spans="1:58" x14ac:dyDescent="0.25">
      <c r="A17" s="69" t="s">
        <v>111</v>
      </c>
      <c r="B17" s="69" t="s">
        <v>112</v>
      </c>
      <c r="C17" s="70">
        <v>1</v>
      </c>
      <c r="D17" s="70"/>
      <c r="E17" s="70">
        <v>116</v>
      </c>
      <c r="F17" s="70"/>
      <c r="G17" s="70"/>
      <c r="H17" s="70">
        <v>93</v>
      </c>
      <c r="I17" s="70">
        <v>2</v>
      </c>
      <c r="J17" s="70">
        <v>8</v>
      </c>
      <c r="K17" s="70">
        <v>4</v>
      </c>
      <c r="L17" s="70">
        <v>5</v>
      </c>
      <c r="M17" s="70">
        <v>5</v>
      </c>
      <c r="N17" s="70">
        <v>83.035713195800781</v>
      </c>
      <c r="O17" s="70">
        <v>1.7857142686843872</v>
      </c>
      <c r="P17" s="70">
        <v>7.1428570747375488</v>
      </c>
      <c r="Q17" s="70">
        <v>3.5714285373687744</v>
      </c>
      <c r="R17" s="70">
        <v>4.4642858505249023</v>
      </c>
      <c r="S17" s="70"/>
      <c r="T17" s="70">
        <v>10</v>
      </c>
      <c r="U17" s="70">
        <v>19</v>
      </c>
      <c r="V17" s="70">
        <v>33</v>
      </c>
      <c r="W17" s="70">
        <v>55</v>
      </c>
      <c r="X17" s="70"/>
      <c r="Y17" s="70">
        <v>8.5470085144042969</v>
      </c>
      <c r="Z17" s="70">
        <v>16.239316940307617</v>
      </c>
      <c r="AA17" s="70">
        <v>28.205127716064453</v>
      </c>
      <c r="AB17" s="70">
        <v>47.008548736572266</v>
      </c>
      <c r="AC17" s="70">
        <v>7</v>
      </c>
      <c r="AD17" s="70">
        <v>1</v>
      </c>
      <c r="AE17" s="70">
        <v>89</v>
      </c>
      <c r="AF17" s="70">
        <v>20</v>
      </c>
      <c r="AG17" s="70">
        <v>5.9829058647155762</v>
      </c>
      <c r="AH17" s="70">
        <v>0.85470086336135864</v>
      </c>
      <c r="AI17" s="70">
        <v>76.068374633789063</v>
      </c>
      <c r="AJ17" s="70">
        <v>17.094017028808594</v>
      </c>
      <c r="AK17" s="70">
        <v>22</v>
      </c>
      <c r="AL17" s="70">
        <v>12</v>
      </c>
      <c r="AM17" s="70">
        <v>10</v>
      </c>
      <c r="AN17" s="70">
        <v>8</v>
      </c>
      <c r="AO17" s="70">
        <v>57</v>
      </c>
      <c r="AP17" s="70">
        <v>8</v>
      </c>
      <c r="AQ17" s="70">
        <v>20.183486938476563</v>
      </c>
      <c r="AR17" s="70">
        <v>11.009174346923828</v>
      </c>
      <c r="AS17" s="70">
        <v>9.174311637878418</v>
      </c>
      <c r="AT17" s="70">
        <v>7.339449405670166</v>
      </c>
      <c r="AU17" s="70">
        <v>52.2935791015625</v>
      </c>
      <c r="AV17" s="70">
        <v>29</v>
      </c>
      <c r="AW17" s="70">
        <v>40</v>
      </c>
      <c r="AX17" s="70">
        <v>19</v>
      </c>
      <c r="AY17" s="70">
        <v>17</v>
      </c>
      <c r="AZ17" s="70">
        <v>3</v>
      </c>
      <c r="BA17" s="70">
        <v>9</v>
      </c>
      <c r="BB17" s="70">
        <v>26.851852416992188</v>
      </c>
      <c r="BC17" s="70">
        <v>37.037036895751953</v>
      </c>
      <c r="BD17" s="70">
        <v>17.592592239379883</v>
      </c>
      <c r="BE17" s="70">
        <v>15.740740776062012</v>
      </c>
      <c r="BF17" s="70">
        <v>2.7777776718139648</v>
      </c>
    </row>
    <row r="18" spans="1:58" x14ac:dyDescent="0.25">
      <c r="A18" s="71" t="s">
        <v>113</v>
      </c>
      <c r="B18" s="71" t="s">
        <v>114</v>
      </c>
      <c r="C18" s="72">
        <v>133</v>
      </c>
      <c r="D18" s="72">
        <v>14</v>
      </c>
      <c r="E18" s="72">
        <v>9</v>
      </c>
      <c r="F18" s="72">
        <v>90.476188659667969</v>
      </c>
      <c r="G18" s="72">
        <v>9.5238094329833984</v>
      </c>
      <c r="H18" s="72">
        <v>137</v>
      </c>
      <c r="I18" s="72">
        <v>2</v>
      </c>
      <c r="J18" s="72">
        <v>6</v>
      </c>
      <c r="K18" s="72"/>
      <c r="L18" s="72">
        <v>5</v>
      </c>
      <c r="M18" s="72">
        <v>6</v>
      </c>
      <c r="N18" s="72">
        <v>91.333335876464844</v>
      </c>
      <c r="O18" s="72">
        <v>1.3333333730697632</v>
      </c>
      <c r="P18" s="72">
        <v>4</v>
      </c>
      <c r="Q18" s="72"/>
      <c r="R18" s="72">
        <v>3.3333332538604736</v>
      </c>
      <c r="S18" s="72">
        <v>32</v>
      </c>
      <c r="T18" s="72">
        <v>23</v>
      </c>
      <c r="U18" s="72">
        <v>51</v>
      </c>
      <c r="V18" s="72">
        <v>44</v>
      </c>
      <c r="W18" s="72">
        <v>6</v>
      </c>
      <c r="X18" s="72">
        <v>20.512821197509766</v>
      </c>
      <c r="Y18" s="72">
        <v>14.743589401245117</v>
      </c>
      <c r="Z18" s="72">
        <v>32.692306518554688</v>
      </c>
      <c r="AA18" s="72">
        <v>28.205127716064453</v>
      </c>
      <c r="AB18" s="72">
        <v>3.846153736114502</v>
      </c>
      <c r="AC18" s="72">
        <v>7</v>
      </c>
      <c r="AD18" s="72"/>
      <c r="AE18" s="72">
        <v>96</v>
      </c>
      <c r="AF18" s="72">
        <v>53</v>
      </c>
      <c r="AG18" s="72">
        <v>4.4871792793273926</v>
      </c>
      <c r="AH18" s="72"/>
      <c r="AI18" s="72">
        <v>61.538459777832031</v>
      </c>
      <c r="AJ18" s="72">
        <v>33.974357604980469</v>
      </c>
      <c r="AK18" s="72">
        <v>30</v>
      </c>
      <c r="AL18" s="72">
        <v>18</v>
      </c>
      <c r="AM18" s="72">
        <v>15</v>
      </c>
      <c r="AN18" s="72">
        <v>13</v>
      </c>
      <c r="AO18" s="72">
        <v>73</v>
      </c>
      <c r="AP18" s="72">
        <v>7</v>
      </c>
      <c r="AQ18" s="72">
        <v>20.134227752685547</v>
      </c>
      <c r="AR18" s="72">
        <v>12.080536842346191</v>
      </c>
      <c r="AS18" s="72">
        <v>10.067113876342773</v>
      </c>
      <c r="AT18" s="72">
        <v>8.7248325347900391</v>
      </c>
      <c r="AU18" s="72">
        <v>48.993289947509766</v>
      </c>
      <c r="AV18" s="72">
        <v>24</v>
      </c>
      <c r="AW18" s="72">
        <v>64</v>
      </c>
      <c r="AX18" s="72">
        <v>29</v>
      </c>
      <c r="AY18" s="72">
        <v>23</v>
      </c>
      <c r="AZ18" s="72">
        <v>12</v>
      </c>
      <c r="BA18" s="72">
        <v>4</v>
      </c>
      <c r="BB18" s="72">
        <v>15.789473533630371</v>
      </c>
      <c r="BC18" s="72">
        <v>42.105262756347656</v>
      </c>
      <c r="BD18" s="72">
        <v>19.078947067260742</v>
      </c>
      <c r="BE18" s="72">
        <v>15.131579399108887</v>
      </c>
      <c r="BF18" s="72">
        <v>7.8947367668151855</v>
      </c>
    </row>
    <row r="19" spans="1:58" x14ac:dyDescent="0.25">
      <c r="A19" s="69" t="s">
        <v>115</v>
      </c>
      <c r="B19" s="69" t="s">
        <v>116</v>
      </c>
      <c r="C19" s="70">
        <v>66</v>
      </c>
      <c r="D19" s="70">
        <v>11</v>
      </c>
      <c r="E19" s="70">
        <v>63</v>
      </c>
      <c r="F19" s="70">
        <v>85.714286804199219</v>
      </c>
      <c r="G19" s="70">
        <v>14.285714149475098</v>
      </c>
      <c r="H19" s="70">
        <v>124</v>
      </c>
      <c r="I19" s="70">
        <v>3</v>
      </c>
      <c r="J19" s="70">
        <v>5</v>
      </c>
      <c r="K19" s="70">
        <v>4</v>
      </c>
      <c r="L19" s="70">
        <v>2</v>
      </c>
      <c r="M19" s="70">
        <v>2</v>
      </c>
      <c r="N19" s="70">
        <v>89.855072021484375</v>
      </c>
      <c r="O19" s="70">
        <v>2.1739130020141602</v>
      </c>
      <c r="P19" s="70">
        <v>3.6231884956359863</v>
      </c>
      <c r="Q19" s="70">
        <v>2.8985507488250732</v>
      </c>
      <c r="R19" s="70">
        <v>1.4492753744125366</v>
      </c>
      <c r="S19" s="70">
        <v>80</v>
      </c>
      <c r="T19" s="70">
        <v>20</v>
      </c>
      <c r="U19" s="70">
        <v>19</v>
      </c>
      <c r="V19" s="70">
        <v>9</v>
      </c>
      <c r="W19" s="70">
        <v>12</v>
      </c>
      <c r="X19" s="70">
        <v>57.142856597900391</v>
      </c>
      <c r="Y19" s="70">
        <v>14.285714149475098</v>
      </c>
      <c r="Z19" s="70">
        <v>13.571428298950195</v>
      </c>
      <c r="AA19" s="70">
        <v>6.4285712242126465</v>
      </c>
      <c r="AB19" s="70">
        <v>8.5714282989501953</v>
      </c>
      <c r="AC19" s="70">
        <v>11</v>
      </c>
      <c r="AD19" s="70">
        <v>2</v>
      </c>
      <c r="AE19" s="70">
        <v>59</v>
      </c>
      <c r="AF19" s="70">
        <v>68</v>
      </c>
      <c r="AG19" s="70">
        <v>7.8571429252624512</v>
      </c>
      <c r="AH19" s="70">
        <v>1.4285714626312256</v>
      </c>
      <c r="AI19" s="70">
        <v>42.142856597900391</v>
      </c>
      <c r="AJ19" s="70">
        <v>48.571430206298828</v>
      </c>
      <c r="AK19" s="70">
        <v>16</v>
      </c>
      <c r="AL19" s="70">
        <v>3</v>
      </c>
      <c r="AM19" s="70">
        <v>19</v>
      </c>
      <c r="AN19" s="70">
        <v>14</v>
      </c>
      <c r="AO19" s="70">
        <v>73</v>
      </c>
      <c r="AP19" s="70">
        <v>15</v>
      </c>
      <c r="AQ19" s="70">
        <v>12.800000190734863</v>
      </c>
      <c r="AR19" s="70">
        <v>2.4000000953674316</v>
      </c>
      <c r="AS19" s="70">
        <v>15.199999809265137</v>
      </c>
      <c r="AT19" s="70">
        <v>11.199999809265137</v>
      </c>
      <c r="AU19" s="70">
        <v>58.400001525878906</v>
      </c>
      <c r="AV19" s="70">
        <v>25</v>
      </c>
      <c r="AW19" s="70">
        <v>30</v>
      </c>
      <c r="AX19" s="70">
        <v>23</v>
      </c>
      <c r="AY19" s="70">
        <v>28</v>
      </c>
      <c r="AZ19" s="70">
        <v>4</v>
      </c>
      <c r="BA19" s="70">
        <v>30</v>
      </c>
      <c r="BB19" s="70">
        <v>22.727272033691406</v>
      </c>
      <c r="BC19" s="70">
        <v>27.272727966308594</v>
      </c>
      <c r="BD19" s="70">
        <v>20.909090042114258</v>
      </c>
      <c r="BE19" s="70">
        <v>25.454545974731445</v>
      </c>
      <c r="BF19" s="70">
        <v>3.6363637447357178</v>
      </c>
    </row>
    <row r="20" spans="1:58" x14ac:dyDescent="0.25">
      <c r="A20" s="71" t="s">
        <v>117</v>
      </c>
      <c r="B20" s="71" t="s">
        <v>118</v>
      </c>
      <c r="C20" s="72">
        <v>240</v>
      </c>
      <c r="D20" s="72">
        <v>18</v>
      </c>
      <c r="E20" s="72">
        <v>22</v>
      </c>
      <c r="F20" s="72">
        <v>93.02325439453125</v>
      </c>
      <c r="G20" s="72">
        <v>6.9767441749572754</v>
      </c>
      <c r="H20" s="72">
        <v>269</v>
      </c>
      <c r="I20" s="72">
        <v>4</v>
      </c>
      <c r="J20" s="72"/>
      <c r="K20" s="72">
        <v>2</v>
      </c>
      <c r="L20" s="72">
        <v>1</v>
      </c>
      <c r="M20" s="72">
        <v>4</v>
      </c>
      <c r="N20" s="72">
        <v>97.463768005371094</v>
      </c>
      <c r="O20" s="72">
        <v>1.4492753744125366</v>
      </c>
      <c r="P20" s="72"/>
      <c r="Q20" s="72">
        <v>0.72463768720626831</v>
      </c>
      <c r="R20" s="72">
        <v>0.36231884360313416</v>
      </c>
      <c r="S20" s="72">
        <v>121</v>
      </c>
      <c r="T20" s="72">
        <v>52</v>
      </c>
      <c r="U20" s="72">
        <v>29</v>
      </c>
      <c r="V20" s="72">
        <v>43</v>
      </c>
      <c r="W20" s="72">
        <v>35</v>
      </c>
      <c r="X20" s="72">
        <v>43.214286804199219</v>
      </c>
      <c r="Y20" s="72">
        <v>18.571428298950195</v>
      </c>
      <c r="Z20" s="72">
        <v>10.357142448425293</v>
      </c>
      <c r="AA20" s="72">
        <v>15.357142448425293</v>
      </c>
      <c r="AB20" s="72">
        <v>12.5</v>
      </c>
      <c r="AC20" s="72">
        <v>24</v>
      </c>
      <c r="AD20" s="72">
        <v>2</v>
      </c>
      <c r="AE20" s="72">
        <v>149</v>
      </c>
      <c r="AF20" s="72">
        <v>105</v>
      </c>
      <c r="AG20" s="72">
        <v>8.5714282989501953</v>
      </c>
      <c r="AH20" s="72">
        <v>0.71428573131561279</v>
      </c>
      <c r="AI20" s="72">
        <v>53.214286804199219</v>
      </c>
      <c r="AJ20" s="72">
        <v>37.5</v>
      </c>
      <c r="AK20" s="72">
        <v>68</v>
      </c>
      <c r="AL20" s="72">
        <v>31</v>
      </c>
      <c r="AM20" s="72">
        <v>33</v>
      </c>
      <c r="AN20" s="72">
        <v>19</v>
      </c>
      <c r="AO20" s="72">
        <v>123</v>
      </c>
      <c r="AP20" s="72">
        <v>6</v>
      </c>
      <c r="AQ20" s="72">
        <v>24.81751823425293</v>
      </c>
      <c r="AR20" s="72">
        <v>11.313868522644043</v>
      </c>
      <c r="AS20" s="72">
        <v>12.043795585632324</v>
      </c>
      <c r="AT20" s="72">
        <v>6.9343066215515137</v>
      </c>
      <c r="AU20" s="72">
        <v>44.890510559082031</v>
      </c>
      <c r="AV20" s="72">
        <v>35</v>
      </c>
      <c r="AW20" s="72">
        <v>79</v>
      </c>
      <c r="AX20" s="72">
        <v>62</v>
      </c>
      <c r="AY20" s="72">
        <v>68</v>
      </c>
      <c r="AZ20" s="72">
        <v>33</v>
      </c>
      <c r="BA20" s="72">
        <v>3</v>
      </c>
      <c r="BB20" s="72">
        <v>12.635378837585449</v>
      </c>
      <c r="BC20" s="72">
        <v>28.519855499267578</v>
      </c>
      <c r="BD20" s="72">
        <v>22.382671356201172</v>
      </c>
      <c r="BE20" s="72">
        <v>24.548736572265625</v>
      </c>
      <c r="BF20" s="72">
        <v>11.913357734680176</v>
      </c>
    </row>
    <row r="21" spans="1:58" x14ac:dyDescent="0.25">
      <c r="A21" s="69" t="s">
        <v>119</v>
      </c>
      <c r="B21" s="69" t="s">
        <v>120</v>
      </c>
      <c r="C21" s="70">
        <v>189</v>
      </c>
      <c r="D21" s="70">
        <v>13</v>
      </c>
      <c r="E21" s="70">
        <v>96</v>
      </c>
      <c r="F21" s="70">
        <v>93.564353942871094</v>
      </c>
      <c r="G21" s="70">
        <v>6.4356436729431152</v>
      </c>
      <c r="H21" s="70">
        <v>294</v>
      </c>
      <c r="I21" s="70">
        <v>2</v>
      </c>
      <c r="J21" s="70"/>
      <c r="K21" s="70"/>
      <c r="L21" s="70">
        <v>1</v>
      </c>
      <c r="M21" s="70">
        <v>1</v>
      </c>
      <c r="N21" s="70">
        <v>98.989898681640625</v>
      </c>
      <c r="O21" s="70">
        <v>0.67340070009231567</v>
      </c>
      <c r="P21" s="70"/>
      <c r="Q21" s="70"/>
      <c r="R21" s="70">
        <v>0.33670035004615784</v>
      </c>
      <c r="S21" s="70">
        <v>177</v>
      </c>
      <c r="T21" s="70">
        <v>49</v>
      </c>
      <c r="U21" s="70">
        <v>28</v>
      </c>
      <c r="V21" s="70">
        <v>26</v>
      </c>
      <c r="W21" s="70">
        <v>18</v>
      </c>
      <c r="X21" s="70">
        <v>59.395973205566406</v>
      </c>
      <c r="Y21" s="70">
        <v>16.442953109741211</v>
      </c>
      <c r="Z21" s="70">
        <v>9.3959732055664063</v>
      </c>
      <c r="AA21" s="70">
        <v>8.7248325347900391</v>
      </c>
      <c r="AB21" s="70">
        <v>6.0402684211730957</v>
      </c>
      <c r="AC21" s="70">
        <v>32</v>
      </c>
      <c r="AD21" s="70">
        <v>1</v>
      </c>
      <c r="AE21" s="70">
        <v>156</v>
      </c>
      <c r="AF21" s="70">
        <v>109</v>
      </c>
      <c r="AG21" s="70">
        <v>10.738255500793457</v>
      </c>
      <c r="AH21" s="70">
        <v>0.33557048439979553</v>
      </c>
      <c r="AI21" s="70">
        <v>52.348991394042969</v>
      </c>
      <c r="AJ21" s="70">
        <v>36.577182769775391</v>
      </c>
      <c r="AK21" s="70">
        <v>38</v>
      </c>
      <c r="AL21" s="70">
        <v>18</v>
      </c>
      <c r="AM21" s="70">
        <v>37</v>
      </c>
      <c r="AN21" s="70">
        <v>38</v>
      </c>
      <c r="AO21" s="70">
        <v>154</v>
      </c>
      <c r="AP21" s="70">
        <v>13</v>
      </c>
      <c r="AQ21" s="70">
        <v>13.333333015441895</v>
      </c>
      <c r="AR21" s="70">
        <v>6.3157896995544434</v>
      </c>
      <c r="AS21" s="70">
        <v>12.982456207275391</v>
      </c>
      <c r="AT21" s="70">
        <v>13.333333015441895</v>
      </c>
      <c r="AU21" s="70">
        <v>54.035087585449219</v>
      </c>
      <c r="AV21" s="70">
        <v>14</v>
      </c>
      <c r="AW21" s="70">
        <v>80</v>
      </c>
      <c r="AX21" s="70">
        <v>70</v>
      </c>
      <c r="AY21" s="70">
        <v>62</v>
      </c>
      <c r="AZ21" s="70">
        <v>23</v>
      </c>
      <c r="BA21" s="70">
        <v>49</v>
      </c>
      <c r="BB21" s="70">
        <v>5.6224899291992188</v>
      </c>
      <c r="BC21" s="70">
        <v>32.128513336181641</v>
      </c>
      <c r="BD21" s="70">
        <v>28.112449645996094</v>
      </c>
      <c r="BE21" s="70">
        <v>24.899599075317383</v>
      </c>
      <c r="BF21" s="70">
        <v>9.2369480133056641</v>
      </c>
    </row>
    <row r="22" spans="1:58" x14ac:dyDescent="0.25">
      <c r="A22" s="71" t="s">
        <v>121</v>
      </c>
      <c r="B22" s="71" t="s">
        <v>122</v>
      </c>
      <c r="C22" s="72">
        <v>204</v>
      </c>
      <c r="D22" s="72">
        <v>12</v>
      </c>
      <c r="E22" s="72">
        <v>134</v>
      </c>
      <c r="F22" s="72">
        <v>94.444442749023438</v>
      </c>
      <c r="G22" s="72">
        <v>5.5555553436279297</v>
      </c>
      <c r="H22" s="72">
        <v>332</v>
      </c>
      <c r="I22" s="72">
        <v>6</v>
      </c>
      <c r="J22" s="72">
        <v>1</v>
      </c>
      <c r="K22" s="72">
        <v>4</v>
      </c>
      <c r="L22" s="72">
        <v>7</v>
      </c>
      <c r="M22" s="72"/>
      <c r="N22" s="72">
        <v>94.857139587402344</v>
      </c>
      <c r="O22" s="72">
        <v>1.7142857313156128</v>
      </c>
      <c r="P22" s="72">
        <v>0.28571429848670959</v>
      </c>
      <c r="Q22" s="72">
        <v>1.1428571939468384</v>
      </c>
      <c r="R22" s="72">
        <v>2</v>
      </c>
      <c r="S22" s="72">
        <v>214</v>
      </c>
      <c r="T22" s="72">
        <v>43</v>
      </c>
      <c r="U22" s="72">
        <v>48</v>
      </c>
      <c r="V22" s="72">
        <v>29</v>
      </c>
      <c r="W22" s="72">
        <v>16</v>
      </c>
      <c r="X22" s="72">
        <v>61.142856597900391</v>
      </c>
      <c r="Y22" s="72">
        <v>12.285714149475098</v>
      </c>
      <c r="Z22" s="72">
        <v>13.714285850524902</v>
      </c>
      <c r="AA22" s="72">
        <v>8.2857141494750977</v>
      </c>
      <c r="AB22" s="72">
        <v>4.5714287757873535</v>
      </c>
      <c r="AC22" s="72">
        <v>27</v>
      </c>
      <c r="AD22" s="72">
        <v>5</v>
      </c>
      <c r="AE22" s="72">
        <v>259</v>
      </c>
      <c r="AF22" s="72">
        <v>59</v>
      </c>
      <c r="AG22" s="72">
        <v>7.7142858505249023</v>
      </c>
      <c r="AH22" s="72">
        <v>1.4285714626312256</v>
      </c>
      <c r="AI22" s="72">
        <v>74</v>
      </c>
      <c r="AJ22" s="72">
        <v>16.857143402099609</v>
      </c>
      <c r="AK22" s="72">
        <v>117</v>
      </c>
      <c r="AL22" s="72">
        <v>33</v>
      </c>
      <c r="AM22" s="72">
        <v>35</v>
      </c>
      <c r="AN22" s="72">
        <v>24</v>
      </c>
      <c r="AO22" s="72">
        <v>101</v>
      </c>
      <c r="AP22" s="72">
        <v>40</v>
      </c>
      <c r="AQ22" s="72">
        <v>37.741935729980469</v>
      </c>
      <c r="AR22" s="72">
        <v>10.645161628723145</v>
      </c>
      <c r="AS22" s="72">
        <v>11.290322303771973</v>
      </c>
      <c r="AT22" s="72">
        <v>7.7419352531433105</v>
      </c>
      <c r="AU22" s="72">
        <v>32.580646514892578</v>
      </c>
      <c r="AV22" s="72">
        <v>95</v>
      </c>
      <c r="AW22" s="72">
        <v>100</v>
      </c>
      <c r="AX22" s="72">
        <v>65</v>
      </c>
      <c r="AY22" s="72">
        <v>35</v>
      </c>
      <c r="AZ22" s="72">
        <v>9</v>
      </c>
      <c r="BA22" s="72">
        <v>46</v>
      </c>
      <c r="BB22" s="72">
        <v>31.25</v>
      </c>
      <c r="BC22" s="72">
        <v>32.894737243652344</v>
      </c>
      <c r="BD22" s="72">
        <v>21.38157844543457</v>
      </c>
      <c r="BE22" s="72">
        <v>11.513157844543457</v>
      </c>
      <c r="BF22" s="72">
        <v>2.9605262279510498</v>
      </c>
    </row>
    <row r="23" spans="1:58" x14ac:dyDescent="0.25">
      <c r="A23" s="69" t="s">
        <v>123</v>
      </c>
      <c r="B23" s="69" t="s">
        <v>124</v>
      </c>
      <c r="C23" s="70">
        <v>118</v>
      </c>
      <c r="D23" s="70">
        <v>5</v>
      </c>
      <c r="E23" s="70">
        <v>25</v>
      </c>
      <c r="F23" s="70">
        <v>95.934959411621094</v>
      </c>
      <c r="G23" s="70">
        <v>4.0650405883789063</v>
      </c>
      <c r="H23" s="70">
        <v>110</v>
      </c>
      <c r="I23" s="70">
        <v>4</v>
      </c>
      <c r="J23" s="70">
        <v>1</v>
      </c>
      <c r="K23" s="70">
        <v>27</v>
      </c>
      <c r="L23" s="70">
        <v>1</v>
      </c>
      <c r="M23" s="70">
        <v>5</v>
      </c>
      <c r="N23" s="70">
        <v>76.923080444335938</v>
      </c>
      <c r="O23" s="70">
        <v>2.7972028255462646</v>
      </c>
      <c r="P23" s="70">
        <v>0.69930070638656616</v>
      </c>
      <c r="Q23" s="70">
        <v>18.881118774414063</v>
      </c>
      <c r="R23" s="70">
        <v>0.69930070638656616</v>
      </c>
      <c r="S23" s="70">
        <v>29</v>
      </c>
      <c r="T23" s="70">
        <v>28</v>
      </c>
      <c r="U23" s="70">
        <v>32</v>
      </c>
      <c r="V23" s="70">
        <v>26</v>
      </c>
      <c r="W23" s="70">
        <v>33</v>
      </c>
      <c r="X23" s="70">
        <v>19.594594955444336</v>
      </c>
      <c r="Y23" s="70">
        <v>18.918918609619141</v>
      </c>
      <c r="Z23" s="70">
        <v>21.621622085571289</v>
      </c>
      <c r="AA23" s="70">
        <v>17.567567825317383</v>
      </c>
      <c r="AB23" s="70">
        <v>22.297296524047852</v>
      </c>
      <c r="AC23" s="70">
        <v>13</v>
      </c>
      <c r="AD23" s="70">
        <v>2</v>
      </c>
      <c r="AE23" s="70">
        <v>97</v>
      </c>
      <c r="AF23" s="70">
        <v>36</v>
      </c>
      <c r="AG23" s="70">
        <v>8.7837839126586914</v>
      </c>
      <c r="AH23" s="70">
        <v>1.3513513803482056</v>
      </c>
      <c r="AI23" s="70">
        <v>65.540542602539063</v>
      </c>
      <c r="AJ23" s="70">
        <v>24.324323654174805</v>
      </c>
      <c r="AK23" s="70">
        <v>35</v>
      </c>
      <c r="AL23" s="70">
        <v>12</v>
      </c>
      <c r="AM23" s="70">
        <v>20</v>
      </c>
      <c r="AN23" s="70">
        <v>16</v>
      </c>
      <c r="AO23" s="70">
        <v>54</v>
      </c>
      <c r="AP23" s="70">
        <v>11</v>
      </c>
      <c r="AQ23" s="70">
        <v>25.547445297241211</v>
      </c>
      <c r="AR23" s="70">
        <v>8.7591238021850586</v>
      </c>
      <c r="AS23" s="70">
        <v>14.598540306091309</v>
      </c>
      <c r="AT23" s="70">
        <v>11.678832054138184</v>
      </c>
      <c r="AU23" s="70">
        <v>39.416057586669922</v>
      </c>
      <c r="AV23" s="70">
        <v>38</v>
      </c>
      <c r="AW23" s="70">
        <v>48</v>
      </c>
      <c r="AX23" s="70">
        <v>34</v>
      </c>
      <c r="AY23" s="70">
        <v>17</v>
      </c>
      <c r="AZ23" s="70"/>
      <c r="BA23" s="70">
        <v>11</v>
      </c>
      <c r="BB23" s="70">
        <v>27.737226486206055</v>
      </c>
      <c r="BC23" s="70">
        <v>35.036495208740234</v>
      </c>
      <c r="BD23" s="70">
        <v>24.81751823425293</v>
      </c>
      <c r="BE23" s="70">
        <v>12.408759117126465</v>
      </c>
      <c r="BF23" s="70"/>
    </row>
    <row r="24" spans="1:58" x14ac:dyDescent="0.25">
      <c r="A24" s="71" t="s">
        <v>125</v>
      </c>
      <c r="B24" s="71" t="s">
        <v>126</v>
      </c>
      <c r="C24" s="72">
        <v>2</v>
      </c>
      <c r="D24" s="72"/>
      <c r="E24" s="72">
        <v>55</v>
      </c>
      <c r="F24" s="72"/>
      <c r="G24" s="72"/>
      <c r="H24" s="72">
        <v>36</v>
      </c>
      <c r="I24" s="72">
        <v>3</v>
      </c>
      <c r="J24" s="72">
        <v>3</v>
      </c>
      <c r="K24" s="72">
        <v>9</v>
      </c>
      <c r="L24" s="72">
        <v>2</v>
      </c>
      <c r="M24" s="72">
        <v>4</v>
      </c>
      <c r="N24" s="72">
        <v>67.924530029296875</v>
      </c>
      <c r="O24" s="72">
        <v>5.6603775024414063</v>
      </c>
      <c r="P24" s="72">
        <v>5.6603775024414063</v>
      </c>
      <c r="Q24" s="72">
        <v>16.981132507324219</v>
      </c>
      <c r="R24" s="72">
        <v>3.7735848426818848</v>
      </c>
      <c r="S24" s="72">
        <v>26</v>
      </c>
      <c r="T24" s="72">
        <v>12</v>
      </c>
      <c r="U24" s="72">
        <v>8</v>
      </c>
      <c r="V24" s="72">
        <v>8</v>
      </c>
      <c r="W24" s="72">
        <v>3</v>
      </c>
      <c r="X24" s="72">
        <v>45.614036560058594</v>
      </c>
      <c r="Y24" s="72">
        <v>21.052631378173828</v>
      </c>
      <c r="Z24" s="72">
        <v>14.035087585449219</v>
      </c>
      <c r="AA24" s="72">
        <v>14.035087585449219</v>
      </c>
      <c r="AB24" s="72">
        <v>5.263157844543457</v>
      </c>
      <c r="AC24" s="72">
        <v>2</v>
      </c>
      <c r="AD24" s="72">
        <v>5</v>
      </c>
      <c r="AE24" s="72">
        <v>22</v>
      </c>
      <c r="AF24" s="72">
        <v>28</v>
      </c>
      <c r="AG24" s="72">
        <v>3.5087718963623047</v>
      </c>
      <c r="AH24" s="72">
        <v>8.7719297409057617</v>
      </c>
      <c r="AI24" s="72">
        <v>38.596492767333984</v>
      </c>
      <c r="AJ24" s="72">
        <v>49.122806549072266</v>
      </c>
      <c r="AK24" s="72">
        <v>20</v>
      </c>
      <c r="AL24" s="72">
        <v>6</v>
      </c>
      <c r="AM24" s="72">
        <v>7</v>
      </c>
      <c r="AN24" s="72">
        <v>2</v>
      </c>
      <c r="AO24" s="72">
        <v>14</v>
      </c>
      <c r="AP24" s="72">
        <v>8</v>
      </c>
      <c r="AQ24" s="72">
        <v>40.816326141357422</v>
      </c>
      <c r="AR24" s="72">
        <v>12.244897842407227</v>
      </c>
      <c r="AS24" s="72">
        <v>14.285714149475098</v>
      </c>
      <c r="AT24" s="72">
        <v>4.0816326141357422</v>
      </c>
      <c r="AU24" s="72">
        <v>28.571428298950195</v>
      </c>
      <c r="AV24" s="72">
        <v>7</v>
      </c>
      <c r="AW24" s="72">
        <v>18</v>
      </c>
      <c r="AX24" s="72">
        <v>7</v>
      </c>
      <c r="AY24" s="72">
        <v>10</v>
      </c>
      <c r="AZ24" s="72">
        <v>2</v>
      </c>
      <c r="BA24" s="72">
        <v>13</v>
      </c>
      <c r="BB24" s="72">
        <v>15.909090995788574</v>
      </c>
      <c r="BC24" s="72">
        <v>40.909091949462891</v>
      </c>
      <c r="BD24" s="72">
        <v>15.909090995788574</v>
      </c>
      <c r="BE24" s="72">
        <v>22.727272033691406</v>
      </c>
      <c r="BF24" s="72">
        <v>4.5454545021057129</v>
      </c>
    </row>
    <row r="25" spans="1:58" x14ac:dyDescent="0.25">
      <c r="A25" s="69" t="s">
        <v>127</v>
      </c>
      <c r="B25" s="69" t="s">
        <v>128</v>
      </c>
      <c r="C25" s="70">
        <v>151</v>
      </c>
      <c r="D25" s="70">
        <v>16</v>
      </c>
      <c r="E25" s="70">
        <v>97</v>
      </c>
      <c r="F25" s="70">
        <v>90.419158935546875</v>
      </c>
      <c r="G25" s="70">
        <v>9.5808382034301758</v>
      </c>
      <c r="H25" s="70">
        <v>223</v>
      </c>
      <c r="I25" s="70">
        <v>4</v>
      </c>
      <c r="J25" s="70">
        <v>15</v>
      </c>
      <c r="K25" s="70">
        <v>7</v>
      </c>
      <c r="L25" s="70">
        <v>9</v>
      </c>
      <c r="M25" s="70">
        <v>6</v>
      </c>
      <c r="N25" s="70">
        <v>86.434104919433594</v>
      </c>
      <c r="O25" s="70">
        <v>1.5503876209259033</v>
      </c>
      <c r="P25" s="70">
        <v>5.8139533996582031</v>
      </c>
      <c r="Q25" s="70">
        <v>2.7131783962249756</v>
      </c>
      <c r="R25" s="70">
        <v>3.4883720874786377</v>
      </c>
      <c r="S25" s="70">
        <v>51</v>
      </c>
      <c r="T25" s="70">
        <v>61</v>
      </c>
      <c r="U25" s="70">
        <v>58</v>
      </c>
      <c r="V25" s="70">
        <v>40</v>
      </c>
      <c r="W25" s="70">
        <v>54</v>
      </c>
      <c r="X25" s="70">
        <v>19.318181991577148</v>
      </c>
      <c r="Y25" s="70">
        <v>23.106060028076172</v>
      </c>
      <c r="Z25" s="70">
        <v>21.969696044921875</v>
      </c>
      <c r="AA25" s="70">
        <v>15.151515007019043</v>
      </c>
      <c r="AB25" s="70">
        <v>20.454545974731445</v>
      </c>
      <c r="AC25" s="70">
        <v>21</v>
      </c>
      <c r="AD25" s="70">
        <v>5</v>
      </c>
      <c r="AE25" s="70">
        <v>141</v>
      </c>
      <c r="AF25" s="70">
        <v>97</v>
      </c>
      <c r="AG25" s="70">
        <v>7.9545454978942871</v>
      </c>
      <c r="AH25" s="70">
        <v>1.8939393758773804</v>
      </c>
      <c r="AI25" s="70">
        <v>53.409091949462891</v>
      </c>
      <c r="AJ25" s="70">
        <v>36.742424011230469</v>
      </c>
      <c r="AK25" s="70">
        <v>54</v>
      </c>
      <c r="AL25" s="70">
        <v>21</v>
      </c>
      <c r="AM25" s="70">
        <v>17</v>
      </c>
      <c r="AN25" s="70">
        <v>33</v>
      </c>
      <c r="AO25" s="70">
        <v>108</v>
      </c>
      <c r="AP25" s="70">
        <v>31</v>
      </c>
      <c r="AQ25" s="70">
        <v>23.175966262817383</v>
      </c>
      <c r="AR25" s="70">
        <v>9.0128755569458008</v>
      </c>
      <c r="AS25" s="70">
        <v>7.2961373329162598</v>
      </c>
      <c r="AT25" s="70">
        <v>14.163089752197266</v>
      </c>
      <c r="AU25" s="70">
        <v>46.351932525634766</v>
      </c>
      <c r="AV25" s="70">
        <v>33</v>
      </c>
      <c r="AW25" s="70">
        <v>76</v>
      </c>
      <c r="AX25" s="70">
        <v>49</v>
      </c>
      <c r="AY25" s="70">
        <v>26</v>
      </c>
      <c r="AZ25" s="70">
        <v>25</v>
      </c>
      <c r="BA25" s="70">
        <v>55</v>
      </c>
      <c r="BB25" s="70">
        <v>15.789473533630371</v>
      </c>
      <c r="BC25" s="70">
        <v>36.363636016845703</v>
      </c>
      <c r="BD25" s="70">
        <v>23.444976806640625</v>
      </c>
      <c r="BE25" s="70">
        <v>12.440191268920898</v>
      </c>
      <c r="BF25" s="70">
        <v>11.961722373962402</v>
      </c>
    </row>
    <row r="26" spans="1:58" x14ac:dyDescent="0.25">
      <c r="A26" s="71" t="s">
        <v>129</v>
      </c>
      <c r="B26" s="71" t="s">
        <v>130</v>
      </c>
      <c r="C26" s="72">
        <v>52</v>
      </c>
      <c r="D26" s="72">
        <v>16</v>
      </c>
      <c r="E26" s="72">
        <v>282</v>
      </c>
      <c r="F26" s="72">
        <v>76.470588684082031</v>
      </c>
      <c r="G26" s="72">
        <v>23.529411315917969</v>
      </c>
      <c r="H26" s="72">
        <v>290</v>
      </c>
      <c r="I26" s="72">
        <v>19</v>
      </c>
      <c r="J26" s="72">
        <v>9</v>
      </c>
      <c r="K26" s="72">
        <v>5</v>
      </c>
      <c r="L26" s="72">
        <v>4</v>
      </c>
      <c r="M26" s="72">
        <v>23</v>
      </c>
      <c r="N26" s="72">
        <v>88.685012817382813</v>
      </c>
      <c r="O26" s="72">
        <v>5.8103976249694824</v>
      </c>
      <c r="P26" s="72">
        <v>2.752293586730957</v>
      </c>
      <c r="Q26" s="72">
        <v>1.5290520191192627</v>
      </c>
      <c r="R26" s="72">
        <v>1.2232415676116943</v>
      </c>
      <c r="S26" s="72">
        <v>49</v>
      </c>
      <c r="T26" s="72">
        <v>61</v>
      </c>
      <c r="U26" s="72">
        <v>67</v>
      </c>
      <c r="V26" s="72">
        <v>59</v>
      </c>
      <c r="W26" s="72">
        <v>114</v>
      </c>
      <c r="X26" s="72">
        <v>14</v>
      </c>
      <c r="Y26" s="72">
        <v>17.428571701049805</v>
      </c>
      <c r="Z26" s="72">
        <v>19.142856597900391</v>
      </c>
      <c r="AA26" s="72">
        <v>16.857143402099609</v>
      </c>
      <c r="AB26" s="72">
        <v>32.571430206298828</v>
      </c>
      <c r="AC26" s="72">
        <v>25</v>
      </c>
      <c r="AD26" s="72"/>
      <c r="AE26" s="72">
        <v>151</v>
      </c>
      <c r="AF26" s="72">
        <v>174</v>
      </c>
      <c r="AG26" s="72">
        <v>7.1428570747375488</v>
      </c>
      <c r="AH26" s="72"/>
      <c r="AI26" s="72">
        <v>43.142856597900391</v>
      </c>
      <c r="AJ26" s="72">
        <v>49.714286804199219</v>
      </c>
      <c r="AK26" s="72">
        <v>58</v>
      </c>
      <c r="AL26" s="72">
        <v>30</v>
      </c>
      <c r="AM26" s="72">
        <v>46</v>
      </c>
      <c r="AN26" s="72">
        <v>31</v>
      </c>
      <c r="AO26" s="72">
        <v>162</v>
      </c>
      <c r="AP26" s="72">
        <v>23</v>
      </c>
      <c r="AQ26" s="72">
        <v>17.737003326416016</v>
      </c>
      <c r="AR26" s="72">
        <v>9.174311637878418</v>
      </c>
      <c r="AS26" s="72">
        <v>14.067277908325195</v>
      </c>
      <c r="AT26" s="72">
        <v>9.4801225662231445</v>
      </c>
      <c r="AU26" s="72">
        <v>49.541282653808594</v>
      </c>
      <c r="AV26" s="72">
        <v>41</v>
      </c>
      <c r="AW26" s="72">
        <v>80</v>
      </c>
      <c r="AX26" s="72">
        <v>47</v>
      </c>
      <c r="AY26" s="72">
        <v>72</v>
      </c>
      <c r="AZ26" s="72">
        <v>28</v>
      </c>
      <c r="BA26" s="72">
        <v>82</v>
      </c>
      <c r="BB26" s="72">
        <v>15.298507690429688</v>
      </c>
      <c r="BC26" s="72">
        <v>29.850746154785156</v>
      </c>
      <c r="BD26" s="72">
        <v>17.537313461303711</v>
      </c>
      <c r="BE26" s="72">
        <v>26.865671157836914</v>
      </c>
      <c r="BF26" s="72">
        <v>10.447761535644531</v>
      </c>
    </row>
    <row r="27" spans="1:58" x14ac:dyDescent="0.25">
      <c r="A27" s="69" t="s">
        <v>131</v>
      </c>
      <c r="B27" s="69" t="s">
        <v>132</v>
      </c>
      <c r="C27" s="70">
        <v>68</v>
      </c>
      <c r="D27" s="70">
        <v>9</v>
      </c>
      <c r="E27" s="70">
        <v>55</v>
      </c>
      <c r="F27" s="70">
        <v>88.311691284179688</v>
      </c>
      <c r="G27" s="70">
        <v>11.688311576843262</v>
      </c>
      <c r="H27" s="70">
        <v>123</v>
      </c>
      <c r="I27" s="70">
        <v>3</v>
      </c>
      <c r="J27" s="70">
        <v>1</v>
      </c>
      <c r="K27" s="70"/>
      <c r="L27" s="70">
        <v>2</v>
      </c>
      <c r="M27" s="70">
        <v>3</v>
      </c>
      <c r="N27" s="70">
        <v>95.348838806152344</v>
      </c>
      <c r="O27" s="70">
        <v>2.3255813121795654</v>
      </c>
      <c r="P27" s="70">
        <v>0.77519381046295166</v>
      </c>
      <c r="Q27" s="70"/>
      <c r="R27" s="70">
        <v>1.5503876209259033</v>
      </c>
      <c r="S27" s="70">
        <v>9</v>
      </c>
      <c r="T27" s="70">
        <v>8</v>
      </c>
      <c r="U27" s="70">
        <v>32</v>
      </c>
      <c r="V27" s="70">
        <v>42</v>
      </c>
      <c r="W27" s="70">
        <v>41</v>
      </c>
      <c r="X27" s="70">
        <v>6.8181819915771484</v>
      </c>
      <c r="Y27" s="70">
        <v>6.0606060028076172</v>
      </c>
      <c r="Z27" s="70">
        <v>24.242424011230469</v>
      </c>
      <c r="AA27" s="70">
        <v>31.818181991577148</v>
      </c>
      <c r="AB27" s="70">
        <v>31.060606002807617</v>
      </c>
      <c r="AC27" s="70">
        <v>9</v>
      </c>
      <c r="AD27" s="70">
        <v>2</v>
      </c>
      <c r="AE27" s="70">
        <v>115</v>
      </c>
      <c r="AF27" s="70">
        <v>6</v>
      </c>
      <c r="AG27" s="70">
        <v>6.8181819915771484</v>
      </c>
      <c r="AH27" s="70">
        <v>1.5151515007019043</v>
      </c>
      <c r="AI27" s="70">
        <v>87.1212158203125</v>
      </c>
      <c r="AJ27" s="70">
        <v>4.5454545021057129</v>
      </c>
      <c r="AK27" s="70">
        <v>20</v>
      </c>
      <c r="AL27" s="70">
        <v>8</v>
      </c>
      <c r="AM27" s="70">
        <v>9</v>
      </c>
      <c r="AN27" s="70">
        <v>3</v>
      </c>
      <c r="AO27" s="70">
        <v>68</v>
      </c>
      <c r="AP27" s="70">
        <v>24</v>
      </c>
      <c r="AQ27" s="70">
        <v>18.518518447875977</v>
      </c>
      <c r="AR27" s="70">
        <v>7.407407283782959</v>
      </c>
      <c r="AS27" s="70">
        <v>8.3333330154418945</v>
      </c>
      <c r="AT27" s="70">
        <v>2.7777776718139648</v>
      </c>
      <c r="AU27" s="70">
        <v>62.962963104248047</v>
      </c>
      <c r="AV27" s="70">
        <v>23</v>
      </c>
      <c r="AW27" s="70">
        <v>27</v>
      </c>
      <c r="AX27" s="70">
        <v>20</v>
      </c>
      <c r="AY27" s="70">
        <v>22</v>
      </c>
      <c r="AZ27" s="70">
        <v>1</v>
      </c>
      <c r="BA27" s="70">
        <v>39</v>
      </c>
      <c r="BB27" s="70">
        <v>24.731182098388672</v>
      </c>
      <c r="BC27" s="70">
        <v>29.032258987426758</v>
      </c>
      <c r="BD27" s="70">
        <v>21.505376815795898</v>
      </c>
      <c r="BE27" s="70">
        <v>23.655914306640625</v>
      </c>
      <c r="BF27" s="70">
        <v>1.0752688646316528</v>
      </c>
    </row>
    <row r="28" spans="1:58" x14ac:dyDescent="0.25">
      <c r="A28" s="71" t="s">
        <v>133</v>
      </c>
      <c r="B28" s="71" t="s">
        <v>134</v>
      </c>
      <c r="C28" s="72">
        <v>91</v>
      </c>
      <c r="D28" s="72">
        <v>5</v>
      </c>
      <c r="E28" s="72">
        <v>33</v>
      </c>
      <c r="F28" s="72">
        <v>94.791664123535156</v>
      </c>
      <c r="G28" s="72">
        <v>5.2083334922790527</v>
      </c>
      <c r="H28" s="72">
        <v>112</v>
      </c>
      <c r="I28" s="72">
        <v>3</v>
      </c>
      <c r="J28" s="72">
        <v>7</v>
      </c>
      <c r="K28" s="72"/>
      <c r="L28" s="72">
        <v>4</v>
      </c>
      <c r="M28" s="72">
        <v>3</v>
      </c>
      <c r="N28" s="72">
        <v>88.888885498046875</v>
      </c>
      <c r="O28" s="72">
        <v>2.3809523582458496</v>
      </c>
      <c r="P28" s="72">
        <v>5.5555553436279297</v>
      </c>
      <c r="Q28" s="72"/>
      <c r="R28" s="72">
        <v>3.1746032238006592</v>
      </c>
      <c r="S28" s="72">
        <v>24</v>
      </c>
      <c r="T28" s="72">
        <v>19</v>
      </c>
      <c r="U28" s="72">
        <v>37</v>
      </c>
      <c r="V28" s="72">
        <v>23</v>
      </c>
      <c r="W28" s="72">
        <v>26</v>
      </c>
      <c r="X28" s="72">
        <v>18.604650497436523</v>
      </c>
      <c r="Y28" s="72">
        <v>14.728682518005371</v>
      </c>
      <c r="Z28" s="72">
        <v>28.682170867919922</v>
      </c>
      <c r="AA28" s="72">
        <v>17.829458236694336</v>
      </c>
      <c r="AB28" s="72">
        <v>20.155038833618164</v>
      </c>
      <c r="AC28" s="72">
        <v>11</v>
      </c>
      <c r="AD28" s="72">
        <v>2</v>
      </c>
      <c r="AE28" s="72">
        <v>112</v>
      </c>
      <c r="AF28" s="72">
        <v>4</v>
      </c>
      <c r="AG28" s="72">
        <v>8.5271320343017578</v>
      </c>
      <c r="AH28" s="72">
        <v>1.5503876209259033</v>
      </c>
      <c r="AI28" s="72">
        <v>86.821708679199219</v>
      </c>
      <c r="AJ28" s="72">
        <v>3.1007752418518066</v>
      </c>
      <c r="AK28" s="72">
        <v>25</v>
      </c>
      <c r="AL28" s="72">
        <v>19</v>
      </c>
      <c r="AM28" s="72">
        <v>15</v>
      </c>
      <c r="AN28" s="72">
        <v>7</v>
      </c>
      <c r="AO28" s="72">
        <v>58</v>
      </c>
      <c r="AP28" s="72">
        <v>5</v>
      </c>
      <c r="AQ28" s="72">
        <v>20.161291122436523</v>
      </c>
      <c r="AR28" s="72">
        <v>15.322580337524414</v>
      </c>
      <c r="AS28" s="72">
        <v>12.096774101257324</v>
      </c>
      <c r="AT28" s="72">
        <v>5.6451611518859863</v>
      </c>
      <c r="AU28" s="72">
        <v>46.774192810058594</v>
      </c>
      <c r="AV28" s="72">
        <v>15</v>
      </c>
      <c r="AW28" s="72">
        <v>41</v>
      </c>
      <c r="AX28" s="72">
        <v>28</v>
      </c>
      <c r="AY28" s="72">
        <v>28</v>
      </c>
      <c r="AZ28" s="72">
        <v>12</v>
      </c>
      <c r="BA28" s="72">
        <v>5</v>
      </c>
      <c r="BB28" s="72">
        <v>12.096774101257324</v>
      </c>
      <c r="BC28" s="72">
        <v>33.064517974853516</v>
      </c>
      <c r="BD28" s="72">
        <v>22.580644607543945</v>
      </c>
      <c r="BE28" s="72">
        <v>22.580644607543945</v>
      </c>
      <c r="BF28" s="72">
        <v>9.6774196624755859</v>
      </c>
    </row>
    <row r="29" spans="1:58" x14ac:dyDescent="0.25">
      <c r="A29" s="69" t="s">
        <v>135</v>
      </c>
      <c r="B29" s="69" t="s">
        <v>136</v>
      </c>
      <c r="C29" s="70">
        <v>6</v>
      </c>
      <c r="D29" s="70">
        <v>1</v>
      </c>
      <c r="E29" s="70">
        <v>127</v>
      </c>
      <c r="F29" s="70">
        <v>85.714286804199219</v>
      </c>
      <c r="G29" s="70">
        <v>14.285714149475098</v>
      </c>
      <c r="H29" s="70">
        <v>121</v>
      </c>
      <c r="I29" s="70">
        <v>3</v>
      </c>
      <c r="J29" s="70">
        <v>3</v>
      </c>
      <c r="K29" s="70">
        <v>1</v>
      </c>
      <c r="L29" s="70">
        <v>1</v>
      </c>
      <c r="M29" s="70">
        <v>5</v>
      </c>
      <c r="N29" s="70">
        <v>93.798446655273438</v>
      </c>
      <c r="O29" s="70">
        <v>2.3255813121795654</v>
      </c>
      <c r="P29" s="70">
        <v>2.3255813121795654</v>
      </c>
      <c r="Q29" s="70">
        <v>0.77519381046295166</v>
      </c>
      <c r="R29" s="70">
        <v>0.77519381046295166</v>
      </c>
      <c r="S29" s="70">
        <v>24</v>
      </c>
      <c r="T29" s="70">
        <v>43</v>
      </c>
      <c r="U29" s="70">
        <v>55</v>
      </c>
      <c r="V29" s="70">
        <v>9</v>
      </c>
      <c r="W29" s="70">
        <v>3</v>
      </c>
      <c r="X29" s="70">
        <v>17.91044807434082</v>
      </c>
      <c r="Y29" s="70">
        <v>32.089553833007813</v>
      </c>
      <c r="Z29" s="70">
        <v>41.044776916503906</v>
      </c>
      <c r="AA29" s="70">
        <v>6.7164177894592285</v>
      </c>
      <c r="AB29" s="70">
        <v>2.2388060092926025</v>
      </c>
      <c r="AC29" s="70">
        <v>8</v>
      </c>
      <c r="AD29" s="70">
        <v>4</v>
      </c>
      <c r="AE29" s="70">
        <v>94</v>
      </c>
      <c r="AF29" s="70">
        <v>28</v>
      </c>
      <c r="AG29" s="70">
        <v>5.970149040222168</v>
      </c>
      <c r="AH29" s="70">
        <v>2.985074520111084</v>
      </c>
      <c r="AI29" s="70">
        <v>70.149253845214844</v>
      </c>
      <c r="AJ29" s="70">
        <v>20.895523071289063</v>
      </c>
      <c r="AK29" s="70">
        <v>17</v>
      </c>
      <c r="AL29" s="70">
        <v>6</v>
      </c>
      <c r="AM29" s="70">
        <v>12</v>
      </c>
      <c r="AN29" s="70">
        <v>11</v>
      </c>
      <c r="AO29" s="70">
        <v>63</v>
      </c>
      <c r="AP29" s="70">
        <v>25</v>
      </c>
      <c r="AQ29" s="70">
        <v>15.596330642700195</v>
      </c>
      <c r="AR29" s="70">
        <v>5.5045871734619141</v>
      </c>
      <c r="AS29" s="70">
        <v>11.009174346923828</v>
      </c>
      <c r="AT29" s="70">
        <v>10.091743469238281</v>
      </c>
      <c r="AU29" s="70">
        <v>57.798164367675781</v>
      </c>
      <c r="AV29" s="70">
        <v>30</v>
      </c>
      <c r="AW29" s="70">
        <v>51</v>
      </c>
      <c r="AX29" s="70">
        <v>15</v>
      </c>
      <c r="AY29" s="70">
        <v>12</v>
      </c>
      <c r="AZ29" s="70">
        <v>2</v>
      </c>
      <c r="BA29" s="70">
        <v>24</v>
      </c>
      <c r="BB29" s="70">
        <v>27.272727966308594</v>
      </c>
      <c r="BC29" s="70">
        <v>46.363636016845703</v>
      </c>
      <c r="BD29" s="70">
        <v>13.636363983154297</v>
      </c>
      <c r="BE29" s="70">
        <v>10.909090995788574</v>
      </c>
      <c r="BF29" s="70">
        <v>1.8181818723678589</v>
      </c>
    </row>
    <row r="30" spans="1:58" x14ac:dyDescent="0.25">
      <c r="A30" s="71" t="s">
        <v>137</v>
      </c>
      <c r="B30" s="71" t="s">
        <v>138</v>
      </c>
      <c r="C30" s="72">
        <v>112</v>
      </c>
      <c r="D30" s="72">
        <v>20</v>
      </c>
      <c r="E30" s="72">
        <v>79</v>
      </c>
      <c r="F30" s="72">
        <v>84.848487854003906</v>
      </c>
      <c r="G30" s="72">
        <v>15.151515007019043</v>
      </c>
      <c r="H30" s="72">
        <v>165</v>
      </c>
      <c r="I30" s="72">
        <v>8</v>
      </c>
      <c r="J30" s="72">
        <v>9</v>
      </c>
      <c r="K30" s="72">
        <v>5</v>
      </c>
      <c r="L30" s="72">
        <v>8</v>
      </c>
      <c r="M30" s="72">
        <v>16</v>
      </c>
      <c r="N30" s="72">
        <v>84.615386962890625</v>
      </c>
      <c r="O30" s="72">
        <v>4.1025643348693848</v>
      </c>
      <c r="P30" s="72">
        <v>4.615384578704834</v>
      </c>
      <c r="Q30" s="72">
        <v>2.5641026496887207</v>
      </c>
      <c r="R30" s="72">
        <v>4.1025643348693848</v>
      </c>
      <c r="S30" s="72">
        <v>8</v>
      </c>
      <c r="T30" s="72">
        <v>36</v>
      </c>
      <c r="U30" s="72">
        <v>62</v>
      </c>
      <c r="V30" s="72">
        <v>51</v>
      </c>
      <c r="W30" s="72">
        <v>54</v>
      </c>
      <c r="X30" s="72">
        <v>3.7914690971374512</v>
      </c>
      <c r="Y30" s="72">
        <v>17.061611175537109</v>
      </c>
      <c r="Z30" s="72">
        <v>29.383886337280273</v>
      </c>
      <c r="AA30" s="72">
        <v>24.170616149902344</v>
      </c>
      <c r="AB30" s="72">
        <v>25.592416763305664</v>
      </c>
      <c r="AC30" s="72">
        <v>13</v>
      </c>
      <c r="AD30" s="72">
        <v>3</v>
      </c>
      <c r="AE30" s="72">
        <v>132</v>
      </c>
      <c r="AF30" s="72">
        <v>63</v>
      </c>
      <c r="AG30" s="72">
        <v>6.161137580871582</v>
      </c>
      <c r="AH30" s="72">
        <v>1.421800971031189</v>
      </c>
      <c r="AI30" s="72">
        <v>62.559242248535156</v>
      </c>
      <c r="AJ30" s="72">
        <v>29.857820510864258</v>
      </c>
      <c r="AK30" s="72">
        <v>34</v>
      </c>
      <c r="AL30" s="72">
        <v>11</v>
      </c>
      <c r="AM30" s="72">
        <v>28</v>
      </c>
      <c r="AN30" s="72">
        <v>11</v>
      </c>
      <c r="AO30" s="72">
        <v>101</v>
      </c>
      <c r="AP30" s="72">
        <v>26</v>
      </c>
      <c r="AQ30" s="72">
        <v>18.378377914428711</v>
      </c>
      <c r="AR30" s="72">
        <v>5.9459457397460938</v>
      </c>
      <c r="AS30" s="72">
        <v>15.135134696960449</v>
      </c>
      <c r="AT30" s="72">
        <v>5.9459457397460938</v>
      </c>
      <c r="AU30" s="72">
        <v>54.594593048095703</v>
      </c>
      <c r="AV30" s="72">
        <v>51</v>
      </c>
      <c r="AW30" s="72">
        <v>67</v>
      </c>
      <c r="AX30" s="72">
        <v>30</v>
      </c>
      <c r="AY30" s="72">
        <v>35</v>
      </c>
      <c r="AZ30" s="72">
        <v>7</v>
      </c>
      <c r="BA30" s="72">
        <v>21</v>
      </c>
      <c r="BB30" s="72">
        <v>26.842105865478516</v>
      </c>
      <c r="BC30" s="72">
        <v>35.263156890869141</v>
      </c>
      <c r="BD30" s="72">
        <v>15.789473533630371</v>
      </c>
      <c r="BE30" s="72">
        <v>18.421052932739258</v>
      </c>
      <c r="BF30" s="72">
        <v>3.6842105388641357</v>
      </c>
    </row>
    <row r="31" spans="1:58" x14ac:dyDescent="0.25">
      <c r="A31" s="69" t="s">
        <v>139</v>
      </c>
      <c r="B31" s="69" t="s">
        <v>140</v>
      </c>
      <c r="C31" s="70">
        <v>21</v>
      </c>
      <c r="D31" s="70">
        <v>1</v>
      </c>
      <c r="E31" s="70">
        <v>114</v>
      </c>
      <c r="F31" s="70">
        <v>95.454544067382813</v>
      </c>
      <c r="G31" s="70">
        <v>4.5454545021057129</v>
      </c>
      <c r="H31" s="70">
        <v>111</v>
      </c>
      <c r="I31" s="70">
        <v>8</v>
      </c>
      <c r="J31" s="70">
        <v>4</v>
      </c>
      <c r="K31" s="70">
        <v>2</v>
      </c>
      <c r="L31" s="70">
        <v>6</v>
      </c>
      <c r="M31" s="70">
        <v>5</v>
      </c>
      <c r="N31" s="70">
        <v>84.732826232910156</v>
      </c>
      <c r="O31" s="70">
        <v>6.106870174407959</v>
      </c>
      <c r="P31" s="70">
        <v>3.0534350872039795</v>
      </c>
      <c r="Q31" s="70">
        <v>1.5267175436019897</v>
      </c>
      <c r="R31" s="70">
        <v>4.5801525115966797</v>
      </c>
      <c r="S31" s="70">
        <v>18</v>
      </c>
      <c r="T31" s="70">
        <v>24</v>
      </c>
      <c r="U31" s="70">
        <v>32</v>
      </c>
      <c r="V31" s="70">
        <v>38</v>
      </c>
      <c r="W31" s="70">
        <v>24</v>
      </c>
      <c r="X31" s="70">
        <v>13.235294342041016</v>
      </c>
      <c r="Y31" s="70">
        <v>17.647058486938477</v>
      </c>
      <c r="Z31" s="70">
        <v>23.529411315917969</v>
      </c>
      <c r="AA31" s="70">
        <v>27.941177368164063</v>
      </c>
      <c r="AB31" s="70">
        <v>17.647058486938477</v>
      </c>
      <c r="AC31" s="70">
        <v>13</v>
      </c>
      <c r="AD31" s="70">
        <v>5</v>
      </c>
      <c r="AE31" s="70">
        <v>85</v>
      </c>
      <c r="AF31" s="70">
        <v>33</v>
      </c>
      <c r="AG31" s="70">
        <v>9.5588235855102539</v>
      </c>
      <c r="AH31" s="70">
        <v>3.6764705181121826</v>
      </c>
      <c r="AI31" s="70">
        <v>62.5</v>
      </c>
      <c r="AJ31" s="70">
        <v>24.264705657958984</v>
      </c>
      <c r="AK31" s="70">
        <v>23</v>
      </c>
      <c r="AL31" s="70">
        <v>4</v>
      </c>
      <c r="AM31" s="70">
        <v>9</v>
      </c>
      <c r="AN31" s="70">
        <v>9</v>
      </c>
      <c r="AO31" s="70">
        <v>64</v>
      </c>
      <c r="AP31" s="70">
        <v>27</v>
      </c>
      <c r="AQ31" s="70">
        <v>21.100917816162109</v>
      </c>
      <c r="AR31" s="70">
        <v>3.669724702835083</v>
      </c>
      <c r="AS31" s="70">
        <v>8.2568807601928711</v>
      </c>
      <c r="AT31" s="70">
        <v>8.2568807601928711</v>
      </c>
      <c r="AU31" s="70">
        <v>58.715595245361328</v>
      </c>
      <c r="AV31" s="70">
        <v>50</v>
      </c>
      <c r="AW31" s="70">
        <v>44</v>
      </c>
      <c r="AX31" s="70">
        <v>23</v>
      </c>
      <c r="AY31" s="70">
        <v>11</v>
      </c>
      <c r="AZ31" s="70">
        <v>3</v>
      </c>
      <c r="BA31" s="70">
        <v>5</v>
      </c>
      <c r="BB31" s="70">
        <v>38.167938232421875</v>
      </c>
      <c r="BC31" s="70">
        <v>33.587787628173828</v>
      </c>
      <c r="BD31" s="70">
        <v>17.5572509765625</v>
      </c>
      <c r="BE31" s="70">
        <v>8.396946907043457</v>
      </c>
      <c r="BF31" s="70">
        <v>2.2900762557983398</v>
      </c>
    </row>
    <row r="32" spans="1:58" x14ac:dyDescent="0.25">
      <c r="A32" s="71" t="s">
        <v>141</v>
      </c>
      <c r="B32" s="71" t="s">
        <v>142</v>
      </c>
      <c r="C32" s="72">
        <v>235</v>
      </c>
      <c r="D32" s="72">
        <v>15</v>
      </c>
      <c r="E32" s="72">
        <v>172</v>
      </c>
      <c r="F32" s="72">
        <v>94</v>
      </c>
      <c r="G32" s="72">
        <v>6</v>
      </c>
      <c r="H32" s="72">
        <v>364</v>
      </c>
      <c r="I32" s="72">
        <v>10</v>
      </c>
      <c r="J32" s="72">
        <v>11</v>
      </c>
      <c r="K32" s="72">
        <v>4</v>
      </c>
      <c r="L32" s="72">
        <v>13</v>
      </c>
      <c r="M32" s="72">
        <v>20</v>
      </c>
      <c r="N32" s="72">
        <v>90.547264099121094</v>
      </c>
      <c r="O32" s="72">
        <v>2.4875621795654297</v>
      </c>
      <c r="P32" s="72">
        <v>2.7363183498382568</v>
      </c>
      <c r="Q32" s="72">
        <v>0.99502485990524292</v>
      </c>
      <c r="R32" s="72">
        <v>3.2338309288024902</v>
      </c>
      <c r="S32" s="72">
        <v>110</v>
      </c>
      <c r="T32" s="72">
        <v>88</v>
      </c>
      <c r="U32" s="72">
        <v>99</v>
      </c>
      <c r="V32" s="72">
        <v>74</v>
      </c>
      <c r="W32" s="72">
        <v>51</v>
      </c>
      <c r="X32" s="72">
        <v>26.066350936889648</v>
      </c>
      <c r="Y32" s="72">
        <v>20.853080749511719</v>
      </c>
      <c r="Z32" s="72">
        <v>23.459714889526367</v>
      </c>
      <c r="AA32" s="72">
        <v>17.535545349121094</v>
      </c>
      <c r="AB32" s="72">
        <v>12.085308074951172</v>
      </c>
      <c r="AC32" s="72">
        <v>31</v>
      </c>
      <c r="AD32" s="72">
        <v>9</v>
      </c>
      <c r="AE32" s="72">
        <v>228</v>
      </c>
      <c r="AF32" s="72">
        <v>154</v>
      </c>
      <c r="AG32" s="72">
        <v>7.3459715843200684</v>
      </c>
      <c r="AH32" s="72">
        <v>2.1327013969421387</v>
      </c>
      <c r="AI32" s="72">
        <v>54.028434753417969</v>
      </c>
      <c r="AJ32" s="72">
        <v>36.492889404296875</v>
      </c>
      <c r="AK32" s="72">
        <v>42</v>
      </c>
      <c r="AL32" s="72">
        <v>31</v>
      </c>
      <c r="AM32" s="72">
        <v>43</v>
      </c>
      <c r="AN32" s="72">
        <v>40</v>
      </c>
      <c r="AO32" s="72">
        <v>196</v>
      </c>
      <c r="AP32" s="72">
        <v>70</v>
      </c>
      <c r="AQ32" s="72">
        <v>11.931818008422852</v>
      </c>
      <c r="AR32" s="72">
        <v>8.8068180084228516</v>
      </c>
      <c r="AS32" s="72">
        <v>12.215909004211426</v>
      </c>
      <c r="AT32" s="72">
        <v>11.363636016845703</v>
      </c>
      <c r="AU32" s="72">
        <v>55.681819915771484</v>
      </c>
      <c r="AV32" s="72">
        <v>54</v>
      </c>
      <c r="AW32" s="72">
        <v>133</v>
      </c>
      <c r="AX32" s="72">
        <v>84</v>
      </c>
      <c r="AY32" s="72">
        <v>81</v>
      </c>
      <c r="AZ32" s="72">
        <v>26</v>
      </c>
      <c r="BA32" s="72">
        <v>44</v>
      </c>
      <c r="BB32" s="72">
        <v>14.285714149475098</v>
      </c>
      <c r="BC32" s="72">
        <v>35.185184478759766</v>
      </c>
      <c r="BD32" s="72">
        <v>22.222221374511719</v>
      </c>
      <c r="BE32" s="72">
        <v>21.428571701049805</v>
      </c>
      <c r="BF32" s="72">
        <v>6.8783068656921387</v>
      </c>
    </row>
    <row r="33" spans="1:58" x14ac:dyDescent="0.25">
      <c r="A33" s="69" t="s">
        <v>143</v>
      </c>
      <c r="B33" s="69" t="s">
        <v>144</v>
      </c>
      <c r="C33" s="70">
        <v>236</v>
      </c>
      <c r="D33" s="70">
        <v>37</v>
      </c>
      <c r="E33" s="70">
        <v>101</v>
      </c>
      <c r="F33" s="70">
        <v>86.446884155273438</v>
      </c>
      <c r="G33" s="70">
        <v>13.55311393737793</v>
      </c>
      <c r="H33" s="70">
        <v>311</v>
      </c>
      <c r="I33" s="70">
        <v>12</v>
      </c>
      <c r="J33" s="70">
        <v>26</v>
      </c>
      <c r="K33" s="70">
        <v>1</v>
      </c>
      <c r="L33" s="70">
        <v>9</v>
      </c>
      <c r="M33" s="70">
        <v>15</v>
      </c>
      <c r="N33" s="70">
        <v>86.629524230957031</v>
      </c>
      <c r="O33" s="70">
        <v>3.342618465423584</v>
      </c>
      <c r="P33" s="70">
        <v>7.2423396110534668</v>
      </c>
      <c r="Q33" s="70">
        <v>0.27855151891708374</v>
      </c>
      <c r="R33" s="70">
        <v>2.5069637298583984</v>
      </c>
      <c r="S33" s="70">
        <v>18</v>
      </c>
      <c r="T33" s="70">
        <v>45</v>
      </c>
      <c r="U33" s="70">
        <v>71</v>
      </c>
      <c r="V33" s="70">
        <v>73</v>
      </c>
      <c r="W33" s="70">
        <v>167</v>
      </c>
      <c r="X33" s="70">
        <v>4.8128342628479004</v>
      </c>
      <c r="Y33" s="70">
        <v>12.032085418701172</v>
      </c>
      <c r="Z33" s="70">
        <v>18.983957290649414</v>
      </c>
      <c r="AA33" s="70">
        <v>19.518716812133789</v>
      </c>
      <c r="AB33" s="70">
        <v>44.65240478515625</v>
      </c>
      <c r="AC33" s="70">
        <v>25</v>
      </c>
      <c r="AD33" s="70">
        <v>4</v>
      </c>
      <c r="AE33" s="70">
        <v>205</v>
      </c>
      <c r="AF33" s="70">
        <v>140</v>
      </c>
      <c r="AG33" s="70">
        <v>6.6844921112060547</v>
      </c>
      <c r="AH33" s="70">
        <v>1.0695186853408813</v>
      </c>
      <c r="AI33" s="70">
        <v>54.812835693359375</v>
      </c>
      <c r="AJ33" s="70">
        <v>37.433155059814453</v>
      </c>
      <c r="AK33" s="70">
        <v>67</v>
      </c>
      <c r="AL33" s="70">
        <v>25</v>
      </c>
      <c r="AM33" s="70">
        <v>51</v>
      </c>
      <c r="AN33" s="70">
        <v>30</v>
      </c>
      <c r="AO33" s="70">
        <v>166</v>
      </c>
      <c r="AP33" s="70">
        <v>35</v>
      </c>
      <c r="AQ33" s="70">
        <v>19.764011383056641</v>
      </c>
      <c r="AR33" s="70">
        <v>7.374631404876709</v>
      </c>
      <c r="AS33" s="70">
        <v>15.044247627258301</v>
      </c>
      <c r="AT33" s="70">
        <v>8.8495578765869141</v>
      </c>
      <c r="AU33" s="70">
        <v>48.967552185058594</v>
      </c>
      <c r="AV33" s="70">
        <v>73</v>
      </c>
      <c r="AW33" s="70">
        <v>112</v>
      </c>
      <c r="AX33" s="70">
        <v>75</v>
      </c>
      <c r="AY33" s="70">
        <v>87</v>
      </c>
      <c r="AZ33" s="70">
        <v>11</v>
      </c>
      <c r="BA33" s="70">
        <v>16</v>
      </c>
      <c r="BB33" s="70">
        <v>20.391061782836914</v>
      </c>
      <c r="BC33" s="70">
        <v>31.284915924072266</v>
      </c>
      <c r="BD33" s="70">
        <v>20.94972038269043</v>
      </c>
      <c r="BE33" s="70">
        <v>24.301675796508789</v>
      </c>
      <c r="BF33" s="70">
        <v>3.0726256370544434</v>
      </c>
    </row>
    <row r="34" spans="1:58" x14ac:dyDescent="0.25">
      <c r="A34" s="71" t="s">
        <v>145</v>
      </c>
      <c r="B34" s="71" t="s">
        <v>146</v>
      </c>
      <c r="C34" s="72">
        <v>193</v>
      </c>
      <c r="D34" s="72">
        <v>21</v>
      </c>
      <c r="E34" s="72">
        <v>65</v>
      </c>
      <c r="F34" s="72">
        <v>90.186912536621094</v>
      </c>
      <c r="G34" s="72">
        <v>9.8130836486816406</v>
      </c>
      <c r="H34" s="72">
        <v>249</v>
      </c>
      <c r="I34" s="72">
        <v>4</v>
      </c>
      <c r="J34" s="72">
        <v>5</v>
      </c>
      <c r="K34" s="72">
        <v>3</v>
      </c>
      <c r="L34" s="72">
        <v>1</v>
      </c>
      <c r="M34" s="72">
        <v>17</v>
      </c>
      <c r="N34" s="72">
        <v>95.038169860839844</v>
      </c>
      <c r="O34" s="72">
        <v>1.5267175436019897</v>
      </c>
      <c r="P34" s="72">
        <v>1.9083969593048096</v>
      </c>
      <c r="Q34" s="72">
        <v>1.1450381278991699</v>
      </c>
      <c r="R34" s="72">
        <v>0.38167938590049744</v>
      </c>
      <c r="S34" s="72">
        <v>40</v>
      </c>
      <c r="T34" s="72">
        <v>130</v>
      </c>
      <c r="U34" s="72">
        <v>67</v>
      </c>
      <c r="V34" s="72">
        <v>41</v>
      </c>
      <c r="W34" s="72">
        <v>1</v>
      </c>
      <c r="X34" s="72">
        <v>14.336917877197266</v>
      </c>
      <c r="Y34" s="72">
        <v>46.594982147216797</v>
      </c>
      <c r="Z34" s="72">
        <v>24.014337539672852</v>
      </c>
      <c r="AA34" s="72">
        <v>14.695340156555176</v>
      </c>
      <c r="AB34" s="72">
        <v>0.35842293500900269</v>
      </c>
      <c r="AC34" s="72">
        <v>25</v>
      </c>
      <c r="AD34" s="72">
        <v>3</v>
      </c>
      <c r="AE34" s="72">
        <v>140</v>
      </c>
      <c r="AF34" s="72">
        <v>111</v>
      </c>
      <c r="AG34" s="72">
        <v>8.9605731964111328</v>
      </c>
      <c r="AH34" s="72">
        <v>1.0752688646316528</v>
      </c>
      <c r="AI34" s="72">
        <v>50.179210662841797</v>
      </c>
      <c r="AJ34" s="72">
        <v>39.784946441650391</v>
      </c>
      <c r="AK34" s="72">
        <v>40</v>
      </c>
      <c r="AL34" s="72">
        <v>20</v>
      </c>
      <c r="AM34" s="72">
        <v>24</v>
      </c>
      <c r="AN34" s="72">
        <v>37</v>
      </c>
      <c r="AO34" s="72">
        <v>149</v>
      </c>
      <c r="AP34" s="72">
        <v>9</v>
      </c>
      <c r="AQ34" s="72">
        <v>14.814814567565918</v>
      </c>
      <c r="AR34" s="72">
        <v>7.407407283782959</v>
      </c>
      <c r="AS34" s="72">
        <v>8.8888893127441406</v>
      </c>
      <c r="AT34" s="72">
        <v>13.703703880310059</v>
      </c>
      <c r="AU34" s="72">
        <v>55.185184478759766</v>
      </c>
      <c r="AV34" s="72">
        <v>54</v>
      </c>
      <c r="AW34" s="72">
        <v>92</v>
      </c>
      <c r="AX34" s="72">
        <v>39</v>
      </c>
      <c r="AY34" s="72">
        <v>48</v>
      </c>
      <c r="AZ34" s="72">
        <v>38</v>
      </c>
      <c r="BA34" s="72">
        <v>8</v>
      </c>
      <c r="BB34" s="72">
        <v>19.926198959350586</v>
      </c>
      <c r="BC34" s="72">
        <v>33.948341369628906</v>
      </c>
      <c r="BD34" s="72">
        <v>14.391143798828125</v>
      </c>
      <c r="BE34" s="72">
        <v>17.712177276611328</v>
      </c>
      <c r="BF34" s="72">
        <v>14.022140502929688</v>
      </c>
    </row>
    <row r="35" spans="1:58" x14ac:dyDescent="0.25">
      <c r="A35" s="69" t="s">
        <v>147</v>
      </c>
      <c r="B35" s="69" t="s">
        <v>148</v>
      </c>
      <c r="C35" s="70">
        <v>122</v>
      </c>
      <c r="D35" s="70">
        <v>2</v>
      </c>
      <c r="E35" s="70">
        <v>235</v>
      </c>
      <c r="F35" s="70">
        <v>98.387100219726563</v>
      </c>
      <c r="G35" s="70">
        <v>1.6129032373428345</v>
      </c>
      <c r="H35" s="70">
        <v>334</v>
      </c>
      <c r="I35" s="70">
        <v>8</v>
      </c>
      <c r="J35" s="70">
        <v>3</v>
      </c>
      <c r="K35" s="70">
        <v>5</v>
      </c>
      <c r="L35" s="70">
        <v>5</v>
      </c>
      <c r="M35" s="70">
        <v>4</v>
      </c>
      <c r="N35" s="70">
        <v>94.084510803222656</v>
      </c>
      <c r="O35" s="70">
        <v>2.253521203994751</v>
      </c>
      <c r="P35" s="70">
        <v>0.84507042169570923</v>
      </c>
      <c r="Q35" s="70">
        <v>1.408450722694397</v>
      </c>
      <c r="R35" s="70">
        <v>1.408450722694397</v>
      </c>
      <c r="S35" s="70">
        <v>256</v>
      </c>
      <c r="T35" s="70">
        <v>41</v>
      </c>
      <c r="U35" s="70">
        <v>26</v>
      </c>
      <c r="V35" s="70">
        <v>30</v>
      </c>
      <c r="W35" s="70">
        <v>6</v>
      </c>
      <c r="X35" s="70">
        <v>71.309188842773438</v>
      </c>
      <c r="Y35" s="70">
        <v>11.420613288879395</v>
      </c>
      <c r="Z35" s="70">
        <v>7.2423396110534668</v>
      </c>
      <c r="AA35" s="70">
        <v>8.3565464019775391</v>
      </c>
      <c r="AB35" s="70">
        <v>1.671309232711792</v>
      </c>
      <c r="AC35" s="70">
        <v>32</v>
      </c>
      <c r="AD35" s="70">
        <v>1</v>
      </c>
      <c r="AE35" s="70">
        <v>200</v>
      </c>
      <c r="AF35" s="70">
        <v>126</v>
      </c>
      <c r="AG35" s="70">
        <v>8.9136486053466797</v>
      </c>
      <c r="AH35" s="70">
        <v>0.27855151891708374</v>
      </c>
      <c r="AI35" s="70">
        <v>55.710308074951172</v>
      </c>
      <c r="AJ35" s="70">
        <v>35.097492218017578</v>
      </c>
      <c r="AK35" s="70">
        <v>58</v>
      </c>
      <c r="AL35" s="70">
        <v>16</v>
      </c>
      <c r="AM35" s="70">
        <v>30</v>
      </c>
      <c r="AN35" s="70">
        <v>23</v>
      </c>
      <c r="AO35" s="70">
        <v>118</v>
      </c>
      <c r="AP35" s="70">
        <v>114</v>
      </c>
      <c r="AQ35" s="70">
        <v>23.673469543457031</v>
      </c>
      <c r="AR35" s="70">
        <v>6.5306124687194824</v>
      </c>
      <c r="AS35" s="70">
        <v>12.244897842407227</v>
      </c>
      <c r="AT35" s="70">
        <v>9.3877553939819336</v>
      </c>
      <c r="AU35" s="70">
        <v>48.163265228271484</v>
      </c>
      <c r="AV35" s="70">
        <v>74</v>
      </c>
      <c r="AW35" s="70">
        <v>96</v>
      </c>
      <c r="AX35" s="70">
        <v>63</v>
      </c>
      <c r="AY35" s="70">
        <v>35</v>
      </c>
      <c r="AZ35" s="70">
        <v>10</v>
      </c>
      <c r="BA35" s="70">
        <v>81</v>
      </c>
      <c r="BB35" s="70">
        <v>26.618705749511719</v>
      </c>
      <c r="BC35" s="70">
        <v>34.532375335693359</v>
      </c>
      <c r="BD35" s="70">
        <v>22.661870956420898</v>
      </c>
      <c r="BE35" s="70">
        <v>12.589927673339844</v>
      </c>
      <c r="BF35" s="70">
        <v>3.5971221923828125</v>
      </c>
    </row>
    <row r="36" spans="1:58" x14ac:dyDescent="0.25">
      <c r="A36" s="71" t="s">
        <v>149</v>
      </c>
      <c r="B36" s="71" t="s">
        <v>150</v>
      </c>
      <c r="C36" s="72">
        <v>4</v>
      </c>
      <c r="D36" s="72">
        <v>2</v>
      </c>
      <c r="E36" s="72">
        <v>20</v>
      </c>
      <c r="F36" s="72">
        <v>66.666664123535156</v>
      </c>
      <c r="G36" s="72">
        <v>33.333332061767578</v>
      </c>
      <c r="H36" s="72">
        <v>24</v>
      </c>
      <c r="I36" s="72"/>
      <c r="J36" s="72"/>
      <c r="K36" s="72"/>
      <c r="L36" s="72"/>
      <c r="M36" s="72">
        <v>2</v>
      </c>
      <c r="N36" s="72">
        <v>100</v>
      </c>
      <c r="O36" s="72"/>
      <c r="P36" s="72"/>
      <c r="Q36" s="72"/>
      <c r="R36" s="72"/>
      <c r="S36" s="72">
        <v>12</v>
      </c>
      <c r="T36" s="72">
        <v>2</v>
      </c>
      <c r="U36" s="72">
        <v>7</v>
      </c>
      <c r="V36" s="72">
        <v>2</v>
      </c>
      <c r="W36" s="72">
        <v>3</v>
      </c>
      <c r="X36" s="72">
        <v>46.153846740722656</v>
      </c>
      <c r="Y36" s="72">
        <v>7.6923074722290039</v>
      </c>
      <c r="Z36" s="72">
        <v>26.923076629638672</v>
      </c>
      <c r="AA36" s="72">
        <v>7.6923074722290039</v>
      </c>
      <c r="AB36" s="72">
        <v>11.538461685180664</v>
      </c>
      <c r="AC36" s="72">
        <v>6</v>
      </c>
      <c r="AD36" s="72"/>
      <c r="AE36" s="72">
        <v>16</v>
      </c>
      <c r="AF36" s="72">
        <v>4</v>
      </c>
      <c r="AG36" s="72">
        <v>23.076923370361328</v>
      </c>
      <c r="AH36" s="72"/>
      <c r="AI36" s="72">
        <v>61.538459777832031</v>
      </c>
      <c r="AJ36" s="72">
        <v>15.384614944458008</v>
      </c>
      <c r="AK36" s="72">
        <v>2</v>
      </c>
      <c r="AL36" s="72"/>
      <c r="AM36" s="72">
        <v>2</v>
      </c>
      <c r="AN36" s="72"/>
      <c r="AO36" s="72">
        <v>5</v>
      </c>
      <c r="AP36" s="72">
        <v>17</v>
      </c>
      <c r="AQ36" s="72">
        <v>22.222221374511719</v>
      </c>
      <c r="AR36" s="72"/>
      <c r="AS36" s="72">
        <v>22.222221374511719</v>
      </c>
      <c r="AT36" s="72"/>
      <c r="AU36" s="72">
        <v>55.555557250976563</v>
      </c>
      <c r="AV36" s="72">
        <v>6</v>
      </c>
      <c r="AW36" s="72">
        <v>5</v>
      </c>
      <c r="AX36" s="72"/>
      <c r="AY36" s="72">
        <v>2</v>
      </c>
      <c r="AZ36" s="72"/>
      <c r="BA36" s="72">
        <v>13</v>
      </c>
      <c r="BB36" s="72">
        <v>46.153846740722656</v>
      </c>
      <c r="BC36" s="72">
        <v>38.461540222167969</v>
      </c>
      <c r="BD36" s="72"/>
      <c r="BE36" s="72">
        <v>15.384614944458008</v>
      </c>
      <c r="BF36" s="72"/>
    </row>
    <row r="37" spans="1:58" x14ac:dyDescent="0.25">
      <c r="A37" s="69" t="s">
        <v>151</v>
      </c>
      <c r="B37" s="69" t="s">
        <v>152</v>
      </c>
      <c r="C37" s="70">
        <v>155</v>
      </c>
      <c r="D37" s="70">
        <v>11</v>
      </c>
      <c r="E37" s="70">
        <v>94</v>
      </c>
      <c r="F37" s="70">
        <v>93.373497009277344</v>
      </c>
      <c r="G37" s="70">
        <v>6.6265058517456055</v>
      </c>
      <c r="H37" s="70">
        <v>221</v>
      </c>
      <c r="I37" s="70">
        <v>3</v>
      </c>
      <c r="J37" s="70">
        <v>17</v>
      </c>
      <c r="K37" s="70">
        <v>6</v>
      </c>
      <c r="L37" s="70">
        <v>10</v>
      </c>
      <c r="M37" s="70">
        <v>3</v>
      </c>
      <c r="N37" s="70">
        <v>85.992218017578125</v>
      </c>
      <c r="O37" s="70">
        <v>1.1673151254653931</v>
      </c>
      <c r="P37" s="70">
        <v>6.6147861480712891</v>
      </c>
      <c r="Q37" s="70">
        <v>2.3346302509307861</v>
      </c>
      <c r="R37" s="70">
        <v>3.8910505771636963</v>
      </c>
      <c r="S37" s="70">
        <v>56</v>
      </c>
      <c r="T37" s="70">
        <v>68</v>
      </c>
      <c r="U37" s="70">
        <v>71</v>
      </c>
      <c r="V37" s="70">
        <v>44</v>
      </c>
      <c r="W37" s="70">
        <v>21</v>
      </c>
      <c r="X37" s="70">
        <v>21.538461685180664</v>
      </c>
      <c r="Y37" s="70">
        <v>26.153846740722656</v>
      </c>
      <c r="Z37" s="70">
        <v>27.30769157409668</v>
      </c>
      <c r="AA37" s="70">
        <v>16.923076629638672</v>
      </c>
      <c r="AB37" s="70">
        <v>8.0769233703613281</v>
      </c>
      <c r="AC37" s="70">
        <v>18</v>
      </c>
      <c r="AD37" s="70">
        <v>5</v>
      </c>
      <c r="AE37" s="70">
        <v>160</v>
      </c>
      <c r="AF37" s="70">
        <v>77</v>
      </c>
      <c r="AG37" s="70">
        <v>6.9230771064758301</v>
      </c>
      <c r="AH37" s="70">
        <v>1.923076868057251</v>
      </c>
      <c r="AI37" s="70">
        <v>61.538459777832031</v>
      </c>
      <c r="AJ37" s="70">
        <v>29.615385055541992</v>
      </c>
      <c r="AK37" s="70">
        <v>27</v>
      </c>
      <c r="AL37" s="70">
        <v>14</v>
      </c>
      <c r="AM37" s="70">
        <v>25</v>
      </c>
      <c r="AN37" s="70">
        <v>31</v>
      </c>
      <c r="AO37" s="70">
        <v>137</v>
      </c>
      <c r="AP37" s="70">
        <v>26</v>
      </c>
      <c r="AQ37" s="70">
        <v>11.538461685180664</v>
      </c>
      <c r="AR37" s="70">
        <v>5.9829058647155762</v>
      </c>
      <c r="AS37" s="70">
        <v>10.683760643005371</v>
      </c>
      <c r="AT37" s="70">
        <v>13.247862815856934</v>
      </c>
      <c r="AU37" s="70">
        <v>58.547008514404297</v>
      </c>
      <c r="AV37" s="70">
        <v>52</v>
      </c>
      <c r="AW37" s="70">
        <v>60</v>
      </c>
      <c r="AX37" s="70">
        <v>39</v>
      </c>
      <c r="AY37" s="70">
        <v>40</v>
      </c>
      <c r="AZ37" s="70">
        <v>13</v>
      </c>
      <c r="BA37" s="70">
        <v>56</v>
      </c>
      <c r="BB37" s="70">
        <v>25.490196228027344</v>
      </c>
      <c r="BC37" s="70">
        <v>29.411764144897461</v>
      </c>
      <c r="BD37" s="70">
        <v>19.117647171020508</v>
      </c>
      <c r="BE37" s="70">
        <v>19.607843399047852</v>
      </c>
      <c r="BF37" s="70">
        <v>6.3725490570068359</v>
      </c>
    </row>
    <row r="38" spans="1:58" x14ac:dyDescent="0.25">
      <c r="A38" s="71" t="s">
        <v>153</v>
      </c>
      <c r="B38" s="71" t="s">
        <v>154</v>
      </c>
      <c r="C38" s="72">
        <v>19</v>
      </c>
      <c r="D38" s="72"/>
      <c r="E38" s="72">
        <v>189</v>
      </c>
      <c r="F38" s="72"/>
      <c r="G38" s="72"/>
      <c r="H38" s="72">
        <v>199</v>
      </c>
      <c r="I38" s="72">
        <v>3</v>
      </c>
      <c r="J38" s="72">
        <v>1</v>
      </c>
      <c r="K38" s="72"/>
      <c r="L38" s="72">
        <v>1</v>
      </c>
      <c r="M38" s="72">
        <v>4</v>
      </c>
      <c r="N38" s="72">
        <v>97.549018859863281</v>
      </c>
      <c r="O38" s="72">
        <v>1.470588207244873</v>
      </c>
      <c r="P38" s="72">
        <v>0.49019607901573181</v>
      </c>
      <c r="Q38" s="72"/>
      <c r="R38" s="72">
        <v>0.49019607901573181</v>
      </c>
      <c r="S38" s="72">
        <v>91</v>
      </c>
      <c r="T38" s="72">
        <v>47</v>
      </c>
      <c r="U38" s="72">
        <v>38</v>
      </c>
      <c r="V38" s="72">
        <v>19</v>
      </c>
      <c r="W38" s="72">
        <v>13</v>
      </c>
      <c r="X38" s="72">
        <v>43.75</v>
      </c>
      <c r="Y38" s="72">
        <v>22.596153259277344</v>
      </c>
      <c r="Z38" s="72">
        <v>18.269229888916016</v>
      </c>
      <c r="AA38" s="72">
        <v>9.1346149444580078</v>
      </c>
      <c r="AB38" s="72">
        <v>6.25</v>
      </c>
      <c r="AC38" s="72">
        <v>29</v>
      </c>
      <c r="AD38" s="72"/>
      <c r="AE38" s="72">
        <v>107</v>
      </c>
      <c r="AF38" s="72">
        <v>72</v>
      </c>
      <c r="AG38" s="72">
        <v>13.942307472229004</v>
      </c>
      <c r="AH38" s="72"/>
      <c r="AI38" s="72">
        <v>51.442306518554688</v>
      </c>
      <c r="AJ38" s="72">
        <v>34.615383148193359</v>
      </c>
      <c r="AK38" s="72">
        <v>30</v>
      </c>
      <c r="AL38" s="72">
        <v>10</v>
      </c>
      <c r="AM38" s="72">
        <v>19</v>
      </c>
      <c r="AN38" s="72">
        <v>25</v>
      </c>
      <c r="AO38" s="72">
        <v>117</v>
      </c>
      <c r="AP38" s="72">
        <v>7</v>
      </c>
      <c r="AQ38" s="72">
        <v>14.925373077392578</v>
      </c>
      <c r="AR38" s="72">
        <v>4.9751243591308594</v>
      </c>
      <c r="AS38" s="72">
        <v>9.4527359008789063</v>
      </c>
      <c r="AT38" s="72">
        <v>12.437810897827148</v>
      </c>
      <c r="AU38" s="72">
        <v>58.208953857421875</v>
      </c>
      <c r="AV38" s="72">
        <v>35</v>
      </c>
      <c r="AW38" s="72">
        <v>66</v>
      </c>
      <c r="AX38" s="72">
        <v>56</v>
      </c>
      <c r="AY38" s="72">
        <v>35</v>
      </c>
      <c r="AZ38" s="72">
        <v>8</v>
      </c>
      <c r="BA38" s="72">
        <v>8</v>
      </c>
      <c r="BB38" s="72">
        <v>17.5</v>
      </c>
      <c r="BC38" s="72">
        <v>33</v>
      </c>
      <c r="BD38" s="72">
        <v>28</v>
      </c>
      <c r="BE38" s="72">
        <v>17.5</v>
      </c>
      <c r="BF38" s="72">
        <v>4</v>
      </c>
    </row>
    <row r="39" spans="1:58" x14ac:dyDescent="0.25">
      <c r="A39" s="69" t="s">
        <v>155</v>
      </c>
      <c r="B39" s="69" t="s">
        <v>156</v>
      </c>
      <c r="C39" s="70">
        <v>43</v>
      </c>
      <c r="D39" s="70">
        <v>4</v>
      </c>
      <c r="E39" s="70">
        <v>137</v>
      </c>
      <c r="F39" s="70">
        <v>91.489364624023438</v>
      </c>
      <c r="G39" s="70">
        <v>8.5106382369995117</v>
      </c>
      <c r="H39" s="70">
        <v>174</v>
      </c>
      <c r="I39" s="70">
        <v>3</v>
      </c>
      <c r="J39" s="70"/>
      <c r="K39" s="70">
        <v>2</v>
      </c>
      <c r="L39" s="70">
        <v>3</v>
      </c>
      <c r="M39" s="70">
        <v>2</v>
      </c>
      <c r="N39" s="70">
        <v>95.604393005371094</v>
      </c>
      <c r="O39" s="70">
        <v>1.6483516693115234</v>
      </c>
      <c r="P39" s="70"/>
      <c r="Q39" s="70">
        <v>1.0989011526107788</v>
      </c>
      <c r="R39" s="70">
        <v>1.6483516693115234</v>
      </c>
      <c r="S39" s="70">
        <v>59</v>
      </c>
      <c r="T39" s="70">
        <v>28</v>
      </c>
      <c r="U39" s="70">
        <v>32</v>
      </c>
      <c r="V39" s="70">
        <v>60</v>
      </c>
      <c r="W39" s="70">
        <v>5</v>
      </c>
      <c r="X39" s="70">
        <v>32.065216064453125</v>
      </c>
      <c r="Y39" s="70">
        <v>15.217391014099121</v>
      </c>
      <c r="Z39" s="70">
        <v>17.391304016113281</v>
      </c>
      <c r="AA39" s="70">
        <v>32.608695983886719</v>
      </c>
      <c r="AB39" s="70">
        <v>2.7173912525177002</v>
      </c>
      <c r="AC39" s="70">
        <v>17</v>
      </c>
      <c r="AD39" s="70">
        <v>2</v>
      </c>
      <c r="AE39" s="70">
        <v>98</v>
      </c>
      <c r="AF39" s="70">
        <v>67</v>
      </c>
      <c r="AG39" s="70">
        <v>9.2391300201416016</v>
      </c>
      <c r="AH39" s="70">
        <v>1.0869565010070801</v>
      </c>
      <c r="AI39" s="70">
        <v>53.260868072509766</v>
      </c>
      <c r="AJ39" s="70">
        <v>36.413043975830078</v>
      </c>
      <c r="AK39" s="70">
        <v>48</v>
      </c>
      <c r="AL39" s="70">
        <v>20</v>
      </c>
      <c r="AM39" s="70">
        <v>22</v>
      </c>
      <c r="AN39" s="70">
        <v>12</v>
      </c>
      <c r="AO39" s="70">
        <v>73</v>
      </c>
      <c r="AP39" s="70">
        <v>9</v>
      </c>
      <c r="AQ39" s="70">
        <v>27.428571701049805</v>
      </c>
      <c r="AR39" s="70">
        <v>11.428571701049805</v>
      </c>
      <c r="AS39" s="70">
        <v>12.571428298950195</v>
      </c>
      <c r="AT39" s="70">
        <v>6.8571429252624512</v>
      </c>
      <c r="AU39" s="70">
        <v>41.714286804199219</v>
      </c>
      <c r="AV39" s="70">
        <v>17</v>
      </c>
      <c r="AW39" s="70">
        <v>70</v>
      </c>
      <c r="AX39" s="70">
        <v>33</v>
      </c>
      <c r="AY39" s="70">
        <v>42</v>
      </c>
      <c r="AZ39" s="70">
        <v>11</v>
      </c>
      <c r="BA39" s="70">
        <v>11</v>
      </c>
      <c r="BB39" s="70">
        <v>9.8265895843505859</v>
      </c>
      <c r="BC39" s="70">
        <v>40.462429046630859</v>
      </c>
      <c r="BD39" s="70">
        <v>19.075143814086914</v>
      </c>
      <c r="BE39" s="70">
        <v>24.277456283569336</v>
      </c>
      <c r="BF39" s="70">
        <v>6.3583812713623047</v>
      </c>
    </row>
    <row r="40" spans="1:58" x14ac:dyDescent="0.25">
      <c r="A40" s="71" t="s">
        <v>157</v>
      </c>
      <c r="B40" s="71" t="s">
        <v>158</v>
      </c>
      <c r="C40" s="72">
        <v>136</v>
      </c>
      <c r="D40" s="72">
        <v>13</v>
      </c>
      <c r="E40" s="72">
        <v>88</v>
      </c>
      <c r="F40" s="72">
        <v>91.275169372558594</v>
      </c>
      <c r="G40" s="72">
        <v>8.7248325347900391</v>
      </c>
      <c r="H40" s="72">
        <v>232</v>
      </c>
      <c r="I40" s="72">
        <v>1</v>
      </c>
      <c r="J40" s="72"/>
      <c r="K40" s="72">
        <v>1</v>
      </c>
      <c r="L40" s="72">
        <v>1</v>
      </c>
      <c r="M40" s="72">
        <v>2</v>
      </c>
      <c r="N40" s="72">
        <v>98.723403930664063</v>
      </c>
      <c r="O40" s="72">
        <v>0.42553192377090454</v>
      </c>
      <c r="P40" s="72"/>
      <c r="Q40" s="72">
        <v>0.42553192377090454</v>
      </c>
      <c r="R40" s="72">
        <v>0.42553192377090454</v>
      </c>
      <c r="S40" s="72">
        <v>63</v>
      </c>
      <c r="T40" s="72">
        <v>62</v>
      </c>
      <c r="U40" s="72">
        <v>53</v>
      </c>
      <c r="V40" s="72">
        <v>28</v>
      </c>
      <c r="W40" s="72">
        <v>31</v>
      </c>
      <c r="X40" s="72">
        <v>26.582279205322266</v>
      </c>
      <c r="Y40" s="72">
        <v>26.160337448120117</v>
      </c>
      <c r="Z40" s="72">
        <v>22.362869262695313</v>
      </c>
      <c r="AA40" s="72">
        <v>11.814346313476563</v>
      </c>
      <c r="AB40" s="72">
        <v>13.080168724060059</v>
      </c>
      <c r="AC40" s="72">
        <v>27</v>
      </c>
      <c r="AD40" s="72">
        <v>1</v>
      </c>
      <c r="AE40" s="72">
        <v>126</v>
      </c>
      <c r="AF40" s="72">
        <v>83</v>
      </c>
      <c r="AG40" s="72">
        <v>11.39240550994873</v>
      </c>
      <c r="AH40" s="72">
        <v>0.42194092273712158</v>
      </c>
      <c r="AI40" s="72">
        <v>53.164558410644531</v>
      </c>
      <c r="AJ40" s="72">
        <v>35.021095275878906</v>
      </c>
      <c r="AK40" s="72">
        <v>47</v>
      </c>
      <c r="AL40" s="72">
        <v>17</v>
      </c>
      <c r="AM40" s="72">
        <v>32</v>
      </c>
      <c r="AN40" s="72">
        <v>23</v>
      </c>
      <c r="AO40" s="72">
        <v>116</v>
      </c>
      <c r="AP40" s="72">
        <v>2</v>
      </c>
      <c r="AQ40" s="72">
        <v>20</v>
      </c>
      <c r="AR40" s="72">
        <v>7.2340426445007324</v>
      </c>
      <c r="AS40" s="72">
        <v>13.617021560668945</v>
      </c>
      <c r="AT40" s="72">
        <v>9.7872343063354492</v>
      </c>
      <c r="AU40" s="72">
        <v>49.361701965332031</v>
      </c>
      <c r="AV40" s="72">
        <v>51</v>
      </c>
      <c r="AW40" s="72">
        <v>77</v>
      </c>
      <c r="AX40" s="72">
        <v>28</v>
      </c>
      <c r="AY40" s="72">
        <v>37</v>
      </c>
      <c r="AZ40" s="72">
        <v>8</v>
      </c>
      <c r="BA40" s="72">
        <v>36</v>
      </c>
      <c r="BB40" s="72">
        <v>25.373134613037109</v>
      </c>
      <c r="BC40" s="72">
        <v>38.308456420898438</v>
      </c>
      <c r="BD40" s="72">
        <v>13.93034839630127</v>
      </c>
      <c r="BE40" s="72">
        <v>18.407960891723633</v>
      </c>
      <c r="BF40" s="72">
        <v>3.9800994396209717</v>
      </c>
    </row>
    <row r="41" spans="1:58" x14ac:dyDescent="0.25">
      <c r="A41" s="69" t="s">
        <v>159</v>
      </c>
      <c r="B41" s="69" t="s">
        <v>160</v>
      </c>
      <c r="C41" s="70">
        <v>134</v>
      </c>
      <c r="D41" s="70">
        <v>28</v>
      </c>
      <c r="E41" s="70">
        <v>106</v>
      </c>
      <c r="F41" s="70">
        <v>82.716049194335938</v>
      </c>
      <c r="G41" s="70">
        <v>17.283950805664063</v>
      </c>
      <c r="H41" s="70">
        <v>257</v>
      </c>
      <c r="I41" s="70">
        <v>3</v>
      </c>
      <c r="J41" s="70">
        <v>5</v>
      </c>
      <c r="K41" s="70">
        <v>1</v>
      </c>
      <c r="L41" s="70"/>
      <c r="M41" s="70">
        <v>2</v>
      </c>
      <c r="N41" s="70">
        <v>96.616539001464844</v>
      </c>
      <c r="O41" s="70">
        <v>1.1278195381164551</v>
      </c>
      <c r="P41" s="70">
        <v>1.8796992301940918</v>
      </c>
      <c r="Q41" s="70">
        <v>0.37593984603881836</v>
      </c>
      <c r="R41" s="70"/>
      <c r="S41" s="70">
        <v>18</v>
      </c>
      <c r="T41" s="70">
        <v>36</v>
      </c>
      <c r="U41" s="70">
        <v>77</v>
      </c>
      <c r="V41" s="70">
        <v>70</v>
      </c>
      <c r="W41" s="70">
        <v>67</v>
      </c>
      <c r="X41" s="70">
        <v>6.7164177894592285</v>
      </c>
      <c r="Y41" s="70">
        <v>13.432835578918457</v>
      </c>
      <c r="Z41" s="70">
        <v>28.731344223022461</v>
      </c>
      <c r="AA41" s="70">
        <v>26.119403839111328</v>
      </c>
      <c r="AB41" s="70">
        <v>25</v>
      </c>
      <c r="AC41" s="70">
        <v>9</v>
      </c>
      <c r="AD41" s="70">
        <v>5</v>
      </c>
      <c r="AE41" s="70">
        <v>160</v>
      </c>
      <c r="AF41" s="70">
        <v>94</v>
      </c>
      <c r="AG41" s="70">
        <v>3.3582088947296143</v>
      </c>
      <c r="AH41" s="70">
        <v>1.8656716346740723</v>
      </c>
      <c r="AI41" s="70">
        <v>59.701492309570313</v>
      </c>
      <c r="AJ41" s="70">
        <v>35.074626922607422</v>
      </c>
      <c r="AK41" s="70">
        <v>55</v>
      </c>
      <c r="AL41" s="70">
        <v>22</v>
      </c>
      <c r="AM41" s="70">
        <v>33</v>
      </c>
      <c r="AN41" s="70">
        <v>28</v>
      </c>
      <c r="AO41" s="70">
        <v>59</v>
      </c>
      <c r="AP41" s="70">
        <v>71</v>
      </c>
      <c r="AQ41" s="70">
        <v>27.918781280517578</v>
      </c>
      <c r="AR41" s="70">
        <v>11.167512893676758</v>
      </c>
      <c r="AS41" s="70">
        <v>16.75126838684082</v>
      </c>
      <c r="AT41" s="70">
        <v>14.213197708129883</v>
      </c>
      <c r="AU41" s="70">
        <v>29.949237823486328</v>
      </c>
      <c r="AV41" s="70">
        <v>87</v>
      </c>
      <c r="AW41" s="70">
        <v>77</v>
      </c>
      <c r="AX41" s="70">
        <v>37</v>
      </c>
      <c r="AY41" s="70">
        <v>6</v>
      </c>
      <c r="AZ41" s="70">
        <v>3</v>
      </c>
      <c r="BA41" s="70">
        <v>58</v>
      </c>
      <c r="BB41" s="70">
        <v>41.428569793701172</v>
      </c>
      <c r="BC41" s="70">
        <v>36.666667938232422</v>
      </c>
      <c r="BD41" s="70">
        <v>17.619047164916992</v>
      </c>
      <c r="BE41" s="70">
        <v>2.8571429252624512</v>
      </c>
      <c r="BF41" s="70">
        <v>1.4285714626312256</v>
      </c>
    </row>
    <row r="42" spans="1:58" x14ac:dyDescent="0.25">
      <c r="A42" s="71" t="s">
        <v>161</v>
      </c>
      <c r="B42" s="71" t="s">
        <v>162</v>
      </c>
      <c r="C42" s="72">
        <v>134</v>
      </c>
      <c r="D42" s="72">
        <v>11</v>
      </c>
      <c r="E42" s="72">
        <v>40</v>
      </c>
      <c r="F42" s="72">
        <v>92.413795471191406</v>
      </c>
      <c r="G42" s="72">
        <v>7.5862069129943848</v>
      </c>
      <c r="H42" s="72">
        <v>177</v>
      </c>
      <c r="I42" s="72"/>
      <c r="J42" s="72">
        <v>4</v>
      </c>
      <c r="K42" s="72">
        <v>2</v>
      </c>
      <c r="L42" s="72">
        <v>1</v>
      </c>
      <c r="M42" s="72">
        <v>1</v>
      </c>
      <c r="N42" s="72">
        <v>96.195655822753906</v>
      </c>
      <c r="O42" s="72"/>
      <c r="P42" s="72">
        <v>2.1739130020141602</v>
      </c>
      <c r="Q42" s="72">
        <v>1.0869565010070801</v>
      </c>
      <c r="R42" s="72">
        <v>0.54347825050354004</v>
      </c>
      <c r="S42" s="72">
        <v>27</v>
      </c>
      <c r="T42" s="72">
        <v>26</v>
      </c>
      <c r="U42" s="72">
        <v>44</v>
      </c>
      <c r="V42" s="72">
        <v>40</v>
      </c>
      <c r="W42" s="72">
        <v>48</v>
      </c>
      <c r="X42" s="72">
        <v>14.594594955444336</v>
      </c>
      <c r="Y42" s="72">
        <v>14.054054260253906</v>
      </c>
      <c r="Z42" s="72">
        <v>23.783782958984375</v>
      </c>
      <c r="AA42" s="72">
        <v>21.621622085571289</v>
      </c>
      <c r="AB42" s="72">
        <v>25.945945739746094</v>
      </c>
      <c r="AC42" s="72">
        <v>19</v>
      </c>
      <c r="AD42" s="72">
        <v>1</v>
      </c>
      <c r="AE42" s="72">
        <v>67</v>
      </c>
      <c r="AF42" s="72">
        <v>98</v>
      </c>
      <c r="AG42" s="72">
        <v>10.270270347595215</v>
      </c>
      <c r="AH42" s="72">
        <v>0.54054051637649536</v>
      </c>
      <c r="AI42" s="72">
        <v>36.216217041015625</v>
      </c>
      <c r="AJ42" s="72">
        <v>52.972972869873047</v>
      </c>
      <c r="AK42" s="72">
        <v>24</v>
      </c>
      <c r="AL42" s="72">
        <v>13</v>
      </c>
      <c r="AM42" s="72">
        <v>16</v>
      </c>
      <c r="AN42" s="72">
        <v>16</v>
      </c>
      <c r="AO42" s="72">
        <v>83</v>
      </c>
      <c r="AP42" s="72">
        <v>33</v>
      </c>
      <c r="AQ42" s="72">
        <v>15.789473533630371</v>
      </c>
      <c r="AR42" s="72">
        <v>8.5526313781738281</v>
      </c>
      <c r="AS42" s="72">
        <v>10.526315689086914</v>
      </c>
      <c r="AT42" s="72">
        <v>10.526315689086914</v>
      </c>
      <c r="AU42" s="72">
        <v>54.605262756347656</v>
      </c>
      <c r="AV42" s="72">
        <v>34</v>
      </c>
      <c r="AW42" s="72">
        <v>49</v>
      </c>
      <c r="AX42" s="72">
        <v>34</v>
      </c>
      <c r="AY42" s="72">
        <v>25</v>
      </c>
      <c r="AZ42" s="72">
        <v>4</v>
      </c>
      <c r="BA42" s="72">
        <v>39</v>
      </c>
      <c r="BB42" s="72">
        <v>23.28767204284668</v>
      </c>
      <c r="BC42" s="72">
        <v>33.5616455078125</v>
      </c>
      <c r="BD42" s="72">
        <v>23.28767204284668</v>
      </c>
      <c r="BE42" s="72">
        <v>17.123287200927734</v>
      </c>
      <c r="BF42" s="72">
        <v>2.7397260665893555</v>
      </c>
    </row>
    <row r="43" spans="1:58" x14ac:dyDescent="0.25">
      <c r="A43" s="69" t="s">
        <v>163</v>
      </c>
      <c r="B43" s="69" t="s">
        <v>164</v>
      </c>
      <c r="C43" s="70">
        <v>60</v>
      </c>
      <c r="D43" s="70">
        <v>3</v>
      </c>
      <c r="E43" s="70">
        <v>158</v>
      </c>
      <c r="F43" s="70">
        <v>95.23809814453125</v>
      </c>
      <c r="G43" s="70">
        <v>4.7619047164916992</v>
      </c>
      <c r="H43" s="70">
        <v>206</v>
      </c>
      <c r="I43" s="70">
        <v>1</v>
      </c>
      <c r="J43" s="70">
        <v>1</v>
      </c>
      <c r="K43" s="70">
        <v>2</v>
      </c>
      <c r="L43" s="70">
        <v>7</v>
      </c>
      <c r="M43" s="70">
        <v>4</v>
      </c>
      <c r="N43" s="70">
        <v>94.930877685546875</v>
      </c>
      <c r="O43" s="70">
        <v>0.46082949638366699</v>
      </c>
      <c r="P43" s="70">
        <v>0.46082949638366699</v>
      </c>
      <c r="Q43" s="70">
        <v>0.92165899276733398</v>
      </c>
      <c r="R43" s="70">
        <v>3.2258064746856689</v>
      </c>
      <c r="S43" s="70">
        <v>73</v>
      </c>
      <c r="T43" s="70">
        <v>57</v>
      </c>
      <c r="U43" s="70">
        <v>69</v>
      </c>
      <c r="V43" s="70">
        <v>16</v>
      </c>
      <c r="W43" s="70">
        <v>6</v>
      </c>
      <c r="X43" s="70">
        <v>33.031673431396484</v>
      </c>
      <c r="Y43" s="70">
        <v>25.791854858398438</v>
      </c>
      <c r="Z43" s="70">
        <v>31.221719741821289</v>
      </c>
      <c r="AA43" s="70">
        <v>7.2398190498352051</v>
      </c>
      <c r="AB43" s="70">
        <v>2.7149322032928467</v>
      </c>
      <c r="AC43" s="70">
        <v>19</v>
      </c>
      <c r="AD43" s="70">
        <v>7</v>
      </c>
      <c r="AE43" s="70">
        <v>107</v>
      </c>
      <c r="AF43" s="70">
        <v>88</v>
      </c>
      <c r="AG43" s="70">
        <v>8.597285270690918</v>
      </c>
      <c r="AH43" s="70">
        <v>3.1674208641052246</v>
      </c>
      <c r="AI43" s="70">
        <v>48.416290283203125</v>
      </c>
      <c r="AJ43" s="70">
        <v>39.819004058837891</v>
      </c>
      <c r="AK43" s="70">
        <v>53</v>
      </c>
      <c r="AL43" s="70">
        <v>5</v>
      </c>
      <c r="AM43" s="70">
        <v>15</v>
      </c>
      <c r="AN43" s="70">
        <v>40</v>
      </c>
      <c r="AO43" s="70">
        <v>102</v>
      </c>
      <c r="AP43" s="70">
        <v>6</v>
      </c>
      <c r="AQ43" s="70">
        <v>24.651163101196289</v>
      </c>
      <c r="AR43" s="70">
        <v>2.3255813121795654</v>
      </c>
      <c r="AS43" s="70">
        <v>6.9767441749572754</v>
      </c>
      <c r="AT43" s="70">
        <v>18.604650497436523</v>
      </c>
      <c r="AU43" s="70">
        <v>47.441860198974609</v>
      </c>
      <c r="AV43" s="70">
        <v>32</v>
      </c>
      <c r="AW43" s="70">
        <v>55</v>
      </c>
      <c r="AX43" s="70">
        <v>27</v>
      </c>
      <c r="AY43" s="70">
        <v>35</v>
      </c>
      <c r="AZ43" s="70">
        <v>24</v>
      </c>
      <c r="BA43" s="70">
        <v>48</v>
      </c>
      <c r="BB43" s="70">
        <v>18.497110366821289</v>
      </c>
      <c r="BC43" s="70">
        <v>31.791908264160156</v>
      </c>
      <c r="BD43" s="70">
        <v>15.606936454772949</v>
      </c>
      <c r="BE43" s="70">
        <v>20.23121452331543</v>
      </c>
      <c r="BF43" s="70">
        <v>13.872832298278809</v>
      </c>
    </row>
    <row r="44" spans="1:58" x14ac:dyDescent="0.25">
      <c r="A44" s="71" t="s">
        <v>165</v>
      </c>
      <c r="B44" s="71" t="s">
        <v>166</v>
      </c>
      <c r="C44" s="72">
        <v>55</v>
      </c>
      <c r="D44" s="72">
        <v>5</v>
      </c>
      <c r="E44" s="72">
        <v>48</v>
      </c>
      <c r="F44" s="72">
        <v>91.666664123535156</v>
      </c>
      <c r="G44" s="72">
        <v>8.3333330154418945</v>
      </c>
      <c r="H44" s="72">
        <v>102</v>
      </c>
      <c r="I44" s="72"/>
      <c r="J44" s="72">
        <v>2</v>
      </c>
      <c r="K44" s="72"/>
      <c r="L44" s="72">
        <v>2</v>
      </c>
      <c r="M44" s="72">
        <v>2</v>
      </c>
      <c r="N44" s="72">
        <v>96.226417541503906</v>
      </c>
      <c r="O44" s="72"/>
      <c r="P44" s="72">
        <v>1.8867924213409424</v>
      </c>
      <c r="Q44" s="72"/>
      <c r="R44" s="72">
        <v>1.8867924213409424</v>
      </c>
      <c r="S44" s="72">
        <v>4</v>
      </c>
      <c r="T44" s="72">
        <v>25</v>
      </c>
      <c r="U44" s="72">
        <v>39</v>
      </c>
      <c r="V44" s="72">
        <v>31</v>
      </c>
      <c r="W44" s="72">
        <v>9</v>
      </c>
      <c r="X44" s="72">
        <v>3.7037036418914795</v>
      </c>
      <c r="Y44" s="72">
        <v>23.148147583007813</v>
      </c>
      <c r="Z44" s="72">
        <v>36.111110687255859</v>
      </c>
      <c r="AA44" s="72">
        <v>28.703702926635742</v>
      </c>
      <c r="AB44" s="72">
        <v>8.3333330154418945</v>
      </c>
      <c r="AC44" s="72">
        <v>6</v>
      </c>
      <c r="AD44" s="72"/>
      <c r="AE44" s="72">
        <v>77</v>
      </c>
      <c r="AF44" s="72">
        <v>25</v>
      </c>
      <c r="AG44" s="72">
        <v>5.5555553436279297</v>
      </c>
      <c r="AH44" s="72"/>
      <c r="AI44" s="72">
        <v>71.296295166015625</v>
      </c>
      <c r="AJ44" s="72">
        <v>23.148147583007813</v>
      </c>
      <c r="AK44" s="72">
        <v>8</v>
      </c>
      <c r="AL44" s="72">
        <v>5</v>
      </c>
      <c r="AM44" s="72">
        <v>9</v>
      </c>
      <c r="AN44" s="72">
        <v>11</v>
      </c>
      <c r="AO44" s="72">
        <v>57</v>
      </c>
      <c r="AP44" s="72">
        <v>18</v>
      </c>
      <c r="AQ44" s="72">
        <v>8.8888893127441406</v>
      </c>
      <c r="AR44" s="72">
        <v>5.5555553436279297</v>
      </c>
      <c r="AS44" s="72">
        <v>10</v>
      </c>
      <c r="AT44" s="72">
        <v>12.222222328186035</v>
      </c>
      <c r="AU44" s="72">
        <v>63.333332061767578</v>
      </c>
      <c r="AV44" s="72">
        <v>17</v>
      </c>
      <c r="AW44" s="72">
        <v>31</v>
      </c>
      <c r="AX44" s="72">
        <v>17</v>
      </c>
      <c r="AY44" s="72">
        <v>18</v>
      </c>
      <c r="AZ44" s="72">
        <v>7</v>
      </c>
      <c r="BA44" s="72">
        <v>18</v>
      </c>
      <c r="BB44" s="72">
        <v>18.888889312744141</v>
      </c>
      <c r="BC44" s="72">
        <v>34.444442749023438</v>
      </c>
      <c r="BD44" s="72">
        <v>18.888889312744141</v>
      </c>
      <c r="BE44" s="72">
        <v>20</v>
      </c>
      <c r="BF44" s="72">
        <v>7.7777776718139648</v>
      </c>
    </row>
    <row r="45" spans="1:58" x14ac:dyDescent="0.25">
      <c r="A45" s="69" t="s">
        <v>167</v>
      </c>
      <c r="B45" s="69" t="s">
        <v>168</v>
      </c>
      <c r="C45" s="70">
        <v>83</v>
      </c>
      <c r="D45" s="70">
        <v>14</v>
      </c>
      <c r="E45" s="70">
        <v>38</v>
      </c>
      <c r="F45" s="70">
        <v>85.567008972167969</v>
      </c>
      <c r="G45" s="70">
        <v>14.432990074157715</v>
      </c>
      <c r="H45" s="70">
        <v>118</v>
      </c>
      <c r="I45" s="70">
        <v>5</v>
      </c>
      <c r="J45" s="70">
        <v>4</v>
      </c>
      <c r="K45" s="70">
        <v>2</v>
      </c>
      <c r="L45" s="70">
        <v>1</v>
      </c>
      <c r="M45" s="70">
        <v>5</v>
      </c>
      <c r="N45" s="70">
        <v>90.769233703613281</v>
      </c>
      <c r="O45" s="70">
        <v>3.846153736114502</v>
      </c>
      <c r="P45" s="70">
        <v>3.076923131942749</v>
      </c>
      <c r="Q45" s="70">
        <v>1.5384615659713745</v>
      </c>
      <c r="R45" s="70">
        <v>0.76923078298568726</v>
      </c>
      <c r="S45" s="70">
        <v>6</v>
      </c>
      <c r="T45" s="70">
        <v>14</v>
      </c>
      <c r="U45" s="70">
        <v>35</v>
      </c>
      <c r="V45" s="70">
        <v>30</v>
      </c>
      <c r="W45" s="70">
        <v>50</v>
      </c>
      <c r="X45" s="70">
        <v>4.4444446563720703</v>
      </c>
      <c r="Y45" s="70">
        <v>10.370369911193848</v>
      </c>
      <c r="Z45" s="70">
        <v>25.925926208496094</v>
      </c>
      <c r="AA45" s="70">
        <v>22.222221374511719</v>
      </c>
      <c r="AB45" s="70">
        <v>37.037036895751953</v>
      </c>
      <c r="AC45" s="70">
        <v>19</v>
      </c>
      <c r="AD45" s="70"/>
      <c r="AE45" s="70">
        <v>47</v>
      </c>
      <c r="AF45" s="70">
        <v>69</v>
      </c>
      <c r="AG45" s="70">
        <v>14.074073791503906</v>
      </c>
      <c r="AH45" s="70"/>
      <c r="AI45" s="70">
        <v>34.814815521240234</v>
      </c>
      <c r="AJ45" s="70">
        <v>51.111110687255859</v>
      </c>
      <c r="AK45" s="70">
        <v>4</v>
      </c>
      <c r="AL45" s="70">
        <v>5</v>
      </c>
      <c r="AM45" s="70">
        <v>6</v>
      </c>
      <c r="AN45" s="70">
        <v>5</v>
      </c>
      <c r="AO45" s="70">
        <v>77</v>
      </c>
      <c r="AP45" s="70">
        <v>38</v>
      </c>
      <c r="AQ45" s="70">
        <v>4.123711109161377</v>
      </c>
      <c r="AR45" s="70">
        <v>5.1546392440795898</v>
      </c>
      <c r="AS45" s="70">
        <v>6.1855669021606445</v>
      </c>
      <c r="AT45" s="70">
        <v>5.1546392440795898</v>
      </c>
      <c r="AU45" s="70">
        <v>79.381446838378906</v>
      </c>
      <c r="AV45" s="70">
        <v>16</v>
      </c>
      <c r="AW45" s="70">
        <v>50</v>
      </c>
      <c r="AX45" s="70">
        <v>18</v>
      </c>
      <c r="AY45" s="70">
        <v>19</v>
      </c>
      <c r="AZ45" s="70">
        <v>5</v>
      </c>
      <c r="BA45" s="70">
        <v>27</v>
      </c>
      <c r="BB45" s="70">
        <v>14.814814567565918</v>
      </c>
      <c r="BC45" s="70">
        <v>46.296295166015625</v>
      </c>
      <c r="BD45" s="70">
        <v>16.666666030883789</v>
      </c>
      <c r="BE45" s="70">
        <v>17.592592239379883</v>
      </c>
      <c r="BF45" s="70">
        <v>4.6296296119689941</v>
      </c>
    </row>
    <row r="46" spans="1:58" x14ac:dyDescent="0.25">
      <c r="A46" s="71" t="s">
        <v>169</v>
      </c>
      <c r="B46" s="71" t="s">
        <v>170</v>
      </c>
      <c r="C46" s="72">
        <v>170</v>
      </c>
      <c r="D46" s="72">
        <v>13</v>
      </c>
      <c r="E46" s="72">
        <v>42</v>
      </c>
      <c r="F46" s="72">
        <v>92.896171569824219</v>
      </c>
      <c r="G46" s="72">
        <v>7.1038250923156738</v>
      </c>
      <c r="H46" s="72">
        <v>208</v>
      </c>
      <c r="I46" s="72">
        <v>4</v>
      </c>
      <c r="J46" s="72">
        <v>3</v>
      </c>
      <c r="K46" s="72">
        <v>2</v>
      </c>
      <c r="L46" s="72">
        <v>3</v>
      </c>
      <c r="M46" s="72">
        <v>5</v>
      </c>
      <c r="N46" s="72">
        <v>94.545455932617188</v>
      </c>
      <c r="O46" s="72">
        <v>1.8181818723678589</v>
      </c>
      <c r="P46" s="72">
        <v>1.3636363744735718</v>
      </c>
      <c r="Q46" s="72">
        <v>0.90909093618392944</v>
      </c>
      <c r="R46" s="72">
        <v>1.3636363744735718</v>
      </c>
      <c r="S46" s="72">
        <v>28</v>
      </c>
      <c r="T46" s="72">
        <v>60</v>
      </c>
      <c r="U46" s="72">
        <v>77</v>
      </c>
      <c r="V46" s="72">
        <v>38</v>
      </c>
      <c r="W46" s="72">
        <v>22</v>
      </c>
      <c r="X46" s="72">
        <v>12.44444465637207</v>
      </c>
      <c r="Y46" s="72">
        <v>26.666666030883789</v>
      </c>
      <c r="Z46" s="72">
        <v>34.222221374511719</v>
      </c>
      <c r="AA46" s="72">
        <v>16.888889312744141</v>
      </c>
      <c r="AB46" s="72">
        <v>9.7777776718139648</v>
      </c>
      <c r="AC46" s="72">
        <v>17</v>
      </c>
      <c r="AD46" s="72">
        <v>6</v>
      </c>
      <c r="AE46" s="72">
        <v>115</v>
      </c>
      <c r="AF46" s="72">
        <v>87</v>
      </c>
      <c r="AG46" s="72">
        <v>7.5555553436279297</v>
      </c>
      <c r="AH46" s="72">
        <v>2.6666667461395264</v>
      </c>
      <c r="AI46" s="72">
        <v>51.111110687255859</v>
      </c>
      <c r="AJ46" s="72">
        <v>38.666667938232422</v>
      </c>
      <c r="AK46" s="72">
        <v>31</v>
      </c>
      <c r="AL46" s="72">
        <v>12</v>
      </c>
      <c r="AM46" s="72">
        <v>32</v>
      </c>
      <c r="AN46" s="72">
        <v>30</v>
      </c>
      <c r="AO46" s="72">
        <v>113</v>
      </c>
      <c r="AP46" s="72">
        <v>7</v>
      </c>
      <c r="AQ46" s="72">
        <v>14.220183372497559</v>
      </c>
      <c r="AR46" s="72">
        <v>5.5045871734619141</v>
      </c>
      <c r="AS46" s="72">
        <v>14.678898811340332</v>
      </c>
      <c r="AT46" s="72">
        <v>13.761467933654785</v>
      </c>
      <c r="AU46" s="72">
        <v>51.834861755371094</v>
      </c>
      <c r="AV46" s="72">
        <v>51</v>
      </c>
      <c r="AW46" s="72">
        <v>55</v>
      </c>
      <c r="AX46" s="72">
        <v>42</v>
      </c>
      <c r="AY46" s="72">
        <v>66</v>
      </c>
      <c r="AZ46" s="72">
        <v>6</v>
      </c>
      <c r="BA46" s="72">
        <v>5</v>
      </c>
      <c r="BB46" s="72">
        <v>23.181818008422852</v>
      </c>
      <c r="BC46" s="72">
        <v>25</v>
      </c>
      <c r="BD46" s="72">
        <v>19.090909957885742</v>
      </c>
      <c r="BE46" s="72">
        <v>30</v>
      </c>
      <c r="BF46" s="72">
        <v>2.7272727489471436</v>
      </c>
    </row>
    <row r="47" spans="1:58" x14ac:dyDescent="0.25">
      <c r="A47" s="69" t="s">
        <v>171</v>
      </c>
      <c r="B47" s="69" t="s">
        <v>172</v>
      </c>
      <c r="C47" s="70">
        <v>84</v>
      </c>
      <c r="D47" s="70">
        <v>6</v>
      </c>
      <c r="E47" s="70">
        <v>197</v>
      </c>
      <c r="F47" s="70">
        <v>93.333335876464844</v>
      </c>
      <c r="G47" s="70">
        <v>6.6666665077209473</v>
      </c>
      <c r="H47" s="70">
        <v>258</v>
      </c>
      <c r="I47" s="70">
        <v>5</v>
      </c>
      <c r="J47" s="70">
        <v>6</v>
      </c>
      <c r="K47" s="70">
        <v>2</v>
      </c>
      <c r="L47" s="70">
        <v>6</v>
      </c>
      <c r="M47" s="70">
        <v>10</v>
      </c>
      <c r="N47" s="70">
        <v>93.140792846679688</v>
      </c>
      <c r="O47" s="70">
        <v>1.8050541877746582</v>
      </c>
      <c r="P47" s="70">
        <v>2.166064977645874</v>
      </c>
      <c r="Q47" s="70">
        <v>0.72202163934707642</v>
      </c>
      <c r="R47" s="70">
        <v>2.166064977645874</v>
      </c>
      <c r="S47" s="70">
        <v>18</v>
      </c>
      <c r="T47" s="70">
        <v>89</v>
      </c>
      <c r="U47" s="70">
        <v>90</v>
      </c>
      <c r="V47" s="70">
        <v>56</v>
      </c>
      <c r="W47" s="70">
        <v>34</v>
      </c>
      <c r="X47" s="70">
        <v>6.2717771530151367</v>
      </c>
      <c r="Y47" s="70">
        <v>31.010452270507813</v>
      </c>
      <c r="Z47" s="70">
        <v>31.358884811401367</v>
      </c>
      <c r="AA47" s="70">
        <v>19.512195587158203</v>
      </c>
      <c r="AB47" s="70">
        <v>11.84669017791748</v>
      </c>
      <c r="AC47" s="70">
        <v>11</v>
      </c>
      <c r="AD47" s="70">
        <v>3</v>
      </c>
      <c r="AE47" s="70">
        <v>61</v>
      </c>
      <c r="AF47" s="70">
        <v>212</v>
      </c>
      <c r="AG47" s="70">
        <v>3.8327527046203613</v>
      </c>
      <c r="AH47" s="70">
        <v>1.0452961921691895</v>
      </c>
      <c r="AI47" s="70">
        <v>21.254354476928711</v>
      </c>
      <c r="AJ47" s="70">
        <v>73.867599487304688</v>
      </c>
      <c r="AK47" s="70">
        <v>26</v>
      </c>
      <c r="AL47" s="70">
        <v>9</v>
      </c>
      <c r="AM47" s="70">
        <v>19</v>
      </c>
      <c r="AN47" s="70">
        <v>11</v>
      </c>
      <c r="AO47" s="70">
        <v>45</v>
      </c>
      <c r="AP47" s="70">
        <v>177</v>
      </c>
      <c r="AQ47" s="70">
        <v>23.636363983154297</v>
      </c>
      <c r="AR47" s="70">
        <v>8.1818180084228516</v>
      </c>
      <c r="AS47" s="70">
        <v>17.272727966308594</v>
      </c>
      <c r="AT47" s="70">
        <v>10</v>
      </c>
      <c r="AU47" s="70">
        <v>40.909091949462891</v>
      </c>
      <c r="AV47" s="70">
        <v>25</v>
      </c>
      <c r="AW47" s="70">
        <v>29</v>
      </c>
      <c r="AX47" s="70">
        <v>12</v>
      </c>
      <c r="AY47" s="70">
        <v>25</v>
      </c>
      <c r="AZ47" s="70">
        <v>5</v>
      </c>
      <c r="BA47" s="70">
        <v>191</v>
      </c>
      <c r="BB47" s="70">
        <v>26.041666030883789</v>
      </c>
      <c r="BC47" s="70">
        <v>30.208333969116211</v>
      </c>
      <c r="BD47" s="70">
        <v>12.5</v>
      </c>
      <c r="BE47" s="70">
        <v>26.041666030883789</v>
      </c>
      <c r="BF47" s="70">
        <v>5.2083334922790527</v>
      </c>
    </row>
    <row r="48" spans="1:58" x14ac:dyDescent="0.25">
      <c r="A48" s="71" t="s">
        <v>173</v>
      </c>
      <c r="B48" s="71" t="s">
        <v>174</v>
      </c>
      <c r="C48" s="72">
        <v>303</v>
      </c>
      <c r="D48" s="72">
        <v>37</v>
      </c>
      <c r="E48" s="72">
        <v>117</v>
      </c>
      <c r="F48" s="72">
        <v>89.117645263671875</v>
      </c>
      <c r="G48" s="72">
        <v>10.882352828979492</v>
      </c>
      <c r="H48" s="72">
        <v>402</v>
      </c>
      <c r="I48" s="72">
        <v>16</v>
      </c>
      <c r="J48" s="72">
        <v>8</v>
      </c>
      <c r="K48" s="72">
        <v>5</v>
      </c>
      <c r="L48" s="72">
        <v>8</v>
      </c>
      <c r="M48" s="72">
        <v>18</v>
      </c>
      <c r="N48" s="72">
        <v>91.571754455566406</v>
      </c>
      <c r="O48" s="72">
        <v>3.6446468830108643</v>
      </c>
      <c r="P48" s="72">
        <v>1.8223234415054321</v>
      </c>
      <c r="Q48" s="72">
        <v>1.1389521360397339</v>
      </c>
      <c r="R48" s="72">
        <v>1.8223234415054321</v>
      </c>
      <c r="S48" s="72">
        <v>75</v>
      </c>
      <c r="T48" s="72">
        <v>111</v>
      </c>
      <c r="U48" s="72">
        <v>73</v>
      </c>
      <c r="V48" s="72">
        <v>101</v>
      </c>
      <c r="W48" s="72">
        <v>97</v>
      </c>
      <c r="X48" s="72">
        <v>16.411378860473633</v>
      </c>
      <c r="Y48" s="72">
        <v>24.288839340209961</v>
      </c>
      <c r="Z48" s="72">
        <v>15.97374153137207</v>
      </c>
      <c r="AA48" s="72">
        <v>22.100656509399414</v>
      </c>
      <c r="AB48" s="72">
        <v>21.225383758544922</v>
      </c>
      <c r="AC48" s="72">
        <v>12</v>
      </c>
      <c r="AD48" s="72">
        <v>10</v>
      </c>
      <c r="AE48" s="72">
        <v>183</v>
      </c>
      <c r="AF48" s="72">
        <v>252</v>
      </c>
      <c r="AG48" s="72">
        <v>2.6258206367492676</v>
      </c>
      <c r="AH48" s="72">
        <v>2.1881837844848633</v>
      </c>
      <c r="AI48" s="72">
        <v>40.04376220703125</v>
      </c>
      <c r="AJ48" s="72">
        <v>55.142230987548828</v>
      </c>
      <c r="AK48" s="72">
        <v>179</v>
      </c>
      <c r="AL48" s="72">
        <v>39</v>
      </c>
      <c r="AM48" s="72">
        <v>57</v>
      </c>
      <c r="AN48" s="72">
        <v>28</v>
      </c>
      <c r="AO48" s="72">
        <v>139</v>
      </c>
      <c r="AP48" s="72">
        <v>15</v>
      </c>
      <c r="AQ48" s="72">
        <v>40.497737884521484</v>
      </c>
      <c r="AR48" s="72">
        <v>8.8235292434692383</v>
      </c>
      <c r="AS48" s="72">
        <v>12.895927429199219</v>
      </c>
      <c r="AT48" s="72">
        <v>6.3348417282104492</v>
      </c>
      <c r="AU48" s="72">
        <v>31.447963714599609</v>
      </c>
      <c r="AV48" s="72">
        <v>170</v>
      </c>
      <c r="AW48" s="72">
        <v>140</v>
      </c>
      <c r="AX48" s="72">
        <v>77</v>
      </c>
      <c r="AY48" s="72">
        <v>50</v>
      </c>
      <c r="AZ48" s="72">
        <v>10</v>
      </c>
      <c r="BA48" s="72">
        <v>10</v>
      </c>
      <c r="BB48" s="72">
        <v>38.031318664550781</v>
      </c>
      <c r="BC48" s="72">
        <v>31.319910049438477</v>
      </c>
      <c r="BD48" s="72">
        <v>17.225950241088867</v>
      </c>
      <c r="BE48" s="72">
        <v>11.18568229675293</v>
      </c>
      <c r="BF48" s="72">
        <v>2.2371363639831543</v>
      </c>
    </row>
    <row r="49" spans="1:58" x14ac:dyDescent="0.25">
      <c r="A49" s="69" t="s">
        <v>175</v>
      </c>
      <c r="B49" s="69" t="s">
        <v>176</v>
      </c>
      <c r="C49" s="70">
        <v>325</v>
      </c>
      <c r="D49" s="70">
        <v>54</v>
      </c>
      <c r="E49" s="70">
        <v>36</v>
      </c>
      <c r="F49" s="70">
        <v>85.751976013183594</v>
      </c>
      <c r="G49" s="70">
        <v>14.248021125793457</v>
      </c>
      <c r="H49" s="70">
        <v>375</v>
      </c>
      <c r="I49" s="70">
        <v>7</v>
      </c>
      <c r="J49" s="70">
        <v>9</v>
      </c>
      <c r="K49" s="70">
        <v>11</v>
      </c>
      <c r="L49" s="70">
        <v>3</v>
      </c>
      <c r="M49" s="70">
        <v>10</v>
      </c>
      <c r="N49" s="70">
        <v>92.59259033203125</v>
      </c>
      <c r="O49" s="70">
        <v>1.7283951044082642</v>
      </c>
      <c r="P49" s="70">
        <v>2.2222223281860352</v>
      </c>
      <c r="Q49" s="70">
        <v>2.7160494327545166</v>
      </c>
      <c r="R49" s="70">
        <v>0.74074071645736694</v>
      </c>
      <c r="S49" s="70">
        <v>173</v>
      </c>
      <c r="T49" s="70">
        <v>59</v>
      </c>
      <c r="U49" s="70">
        <v>79</v>
      </c>
      <c r="V49" s="70">
        <v>63</v>
      </c>
      <c r="W49" s="70">
        <v>41</v>
      </c>
      <c r="X49" s="70">
        <v>41.686748504638672</v>
      </c>
      <c r="Y49" s="70">
        <v>14.216867446899414</v>
      </c>
      <c r="Z49" s="70">
        <v>19.036144256591797</v>
      </c>
      <c r="AA49" s="70">
        <v>15.180723190307617</v>
      </c>
      <c r="AB49" s="70">
        <v>9.8795185089111328</v>
      </c>
      <c r="AC49" s="70">
        <v>35</v>
      </c>
      <c r="AD49" s="70">
        <v>2</v>
      </c>
      <c r="AE49" s="70">
        <v>202</v>
      </c>
      <c r="AF49" s="70">
        <v>176</v>
      </c>
      <c r="AG49" s="70">
        <v>8.4337348937988281</v>
      </c>
      <c r="AH49" s="70">
        <v>0.48192772269248962</v>
      </c>
      <c r="AI49" s="70">
        <v>48.674697875976563</v>
      </c>
      <c r="AJ49" s="70">
        <v>42.409637451171875</v>
      </c>
      <c r="AK49" s="70">
        <v>104</v>
      </c>
      <c r="AL49" s="70">
        <v>25</v>
      </c>
      <c r="AM49" s="70">
        <v>40</v>
      </c>
      <c r="AN49" s="70">
        <v>32</v>
      </c>
      <c r="AO49" s="70">
        <v>191</v>
      </c>
      <c r="AP49" s="70">
        <v>23</v>
      </c>
      <c r="AQ49" s="70">
        <v>26.530612945556641</v>
      </c>
      <c r="AR49" s="70">
        <v>6.3775510787963867</v>
      </c>
      <c r="AS49" s="70">
        <v>10.204081535339355</v>
      </c>
      <c r="AT49" s="70">
        <v>8.1632652282714844</v>
      </c>
      <c r="AU49" s="70">
        <v>48.724491119384766</v>
      </c>
      <c r="AV49" s="70">
        <v>96</v>
      </c>
      <c r="AW49" s="70">
        <v>104</v>
      </c>
      <c r="AX49" s="70">
        <v>41</v>
      </c>
      <c r="AY49" s="70">
        <v>139</v>
      </c>
      <c r="AZ49" s="70">
        <v>16</v>
      </c>
      <c r="BA49" s="70">
        <v>19</v>
      </c>
      <c r="BB49" s="70">
        <v>24.242424011230469</v>
      </c>
      <c r="BC49" s="70">
        <v>26.262626647949219</v>
      </c>
      <c r="BD49" s="70">
        <v>10.353535652160645</v>
      </c>
      <c r="BE49" s="70">
        <v>35.101009368896484</v>
      </c>
      <c r="BF49" s="70">
        <v>4.0404038429260254</v>
      </c>
    </row>
    <row r="50" spans="1:58" x14ac:dyDescent="0.25">
      <c r="A50" s="71" t="s">
        <v>177</v>
      </c>
      <c r="B50" s="71" t="s">
        <v>178</v>
      </c>
      <c r="C50" s="72">
        <v>275</v>
      </c>
      <c r="D50" s="72">
        <v>20</v>
      </c>
      <c r="E50" s="72">
        <v>48</v>
      </c>
      <c r="F50" s="72">
        <v>93.2203369140625</v>
      </c>
      <c r="G50" s="72">
        <v>6.7796611785888672</v>
      </c>
      <c r="H50" s="72">
        <v>252</v>
      </c>
      <c r="I50" s="72">
        <v>17</v>
      </c>
      <c r="J50" s="72">
        <v>14</v>
      </c>
      <c r="K50" s="72">
        <v>8</v>
      </c>
      <c r="L50" s="72">
        <v>14</v>
      </c>
      <c r="M50" s="72">
        <v>38</v>
      </c>
      <c r="N50" s="72">
        <v>82.622947692871094</v>
      </c>
      <c r="O50" s="72">
        <v>5.5737705230712891</v>
      </c>
      <c r="P50" s="72">
        <v>4.5901637077331543</v>
      </c>
      <c r="Q50" s="72">
        <v>2.6229507923126221</v>
      </c>
      <c r="R50" s="72">
        <v>4.5901637077331543</v>
      </c>
      <c r="S50" s="72">
        <v>82</v>
      </c>
      <c r="T50" s="72">
        <v>64</v>
      </c>
      <c r="U50" s="72">
        <v>75</v>
      </c>
      <c r="V50" s="72">
        <v>46</v>
      </c>
      <c r="W50" s="72">
        <v>76</v>
      </c>
      <c r="X50" s="72">
        <v>23.906705856323242</v>
      </c>
      <c r="Y50" s="72">
        <v>18.658891677856445</v>
      </c>
      <c r="Z50" s="72">
        <v>21.865888595581055</v>
      </c>
      <c r="AA50" s="72">
        <v>13.411078453063965</v>
      </c>
      <c r="AB50" s="72">
        <v>22.157434463500977</v>
      </c>
      <c r="AC50" s="72">
        <v>38</v>
      </c>
      <c r="AD50" s="72">
        <v>4</v>
      </c>
      <c r="AE50" s="72">
        <v>178</v>
      </c>
      <c r="AF50" s="72">
        <v>123</v>
      </c>
      <c r="AG50" s="72">
        <v>11.078717231750488</v>
      </c>
      <c r="AH50" s="72">
        <v>1.1661807298660278</v>
      </c>
      <c r="AI50" s="72">
        <v>51.895042419433594</v>
      </c>
      <c r="AJ50" s="72">
        <v>35.860057830810547</v>
      </c>
      <c r="AK50" s="72">
        <v>75</v>
      </c>
      <c r="AL50" s="72">
        <v>23</v>
      </c>
      <c r="AM50" s="72">
        <v>36</v>
      </c>
      <c r="AN50" s="72">
        <v>32</v>
      </c>
      <c r="AO50" s="72">
        <v>138</v>
      </c>
      <c r="AP50" s="72">
        <v>39</v>
      </c>
      <c r="AQ50" s="72">
        <v>24.671052932739258</v>
      </c>
      <c r="AR50" s="72">
        <v>7.5657896995544434</v>
      </c>
      <c r="AS50" s="72">
        <v>11.842104911804199</v>
      </c>
      <c r="AT50" s="72">
        <v>10.526315689086914</v>
      </c>
      <c r="AU50" s="72">
        <v>45.394737243652344</v>
      </c>
      <c r="AV50" s="72">
        <v>65</v>
      </c>
      <c r="AW50" s="72">
        <v>107</v>
      </c>
      <c r="AX50" s="72">
        <v>68</v>
      </c>
      <c r="AY50" s="72">
        <v>77</v>
      </c>
      <c r="AZ50" s="72">
        <v>16</v>
      </c>
      <c r="BA50" s="72">
        <v>10</v>
      </c>
      <c r="BB50" s="72">
        <v>19.519519805908203</v>
      </c>
      <c r="BC50" s="72">
        <v>32.132133483886719</v>
      </c>
      <c r="BD50" s="72">
        <v>20.420419692993164</v>
      </c>
      <c r="BE50" s="72">
        <v>23.123123168945313</v>
      </c>
      <c r="BF50" s="72">
        <v>4.804804801940918</v>
      </c>
    </row>
    <row r="51" spans="1:58" x14ac:dyDescent="0.25">
      <c r="A51" s="69" t="s">
        <v>179</v>
      </c>
      <c r="B51" s="69" t="s">
        <v>180</v>
      </c>
      <c r="C51" s="70">
        <v>178</v>
      </c>
      <c r="D51" s="70">
        <v>24</v>
      </c>
      <c r="E51" s="70">
        <v>26</v>
      </c>
      <c r="F51" s="70">
        <v>88.118812561035156</v>
      </c>
      <c r="G51" s="70">
        <v>11.88118839263916</v>
      </c>
      <c r="H51" s="70">
        <v>205</v>
      </c>
      <c r="I51" s="70">
        <v>2</v>
      </c>
      <c r="J51" s="70">
        <v>5</v>
      </c>
      <c r="K51" s="70">
        <v>1</v>
      </c>
      <c r="L51" s="70">
        <v>8</v>
      </c>
      <c r="M51" s="70">
        <v>7</v>
      </c>
      <c r="N51" s="70">
        <v>92.760177612304688</v>
      </c>
      <c r="O51" s="70">
        <v>0.90497738122940063</v>
      </c>
      <c r="P51" s="70">
        <v>2.2624435424804688</v>
      </c>
      <c r="Q51" s="70">
        <v>0.45248869061470032</v>
      </c>
      <c r="R51" s="70">
        <v>3.6199095249176025</v>
      </c>
      <c r="S51" s="70">
        <v>9</v>
      </c>
      <c r="T51" s="70">
        <v>32</v>
      </c>
      <c r="U51" s="70">
        <v>30</v>
      </c>
      <c r="V51" s="70">
        <v>43</v>
      </c>
      <c r="W51" s="70">
        <v>114</v>
      </c>
      <c r="X51" s="70">
        <v>3.9473683834075928</v>
      </c>
      <c r="Y51" s="70">
        <v>14.035087585449219</v>
      </c>
      <c r="Z51" s="70">
        <v>13.157895088195801</v>
      </c>
      <c r="AA51" s="70">
        <v>18.859649658203125</v>
      </c>
      <c r="AB51" s="70">
        <v>50</v>
      </c>
      <c r="AC51" s="70">
        <v>10</v>
      </c>
      <c r="AD51" s="70">
        <v>4</v>
      </c>
      <c r="AE51" s="70">
        <v>209</v>
      </c>
      <c r="AF51" s="70">
        <v>5</v>
      </c>
      <c r="AG51" s="70">
        <v>4.3859648704528809</v>
      </c>
      <c r="AH51" s="70">
        <v>1.7543859481811523</v>
      </c>
      <c r="AI51" s="70">
        <v>91.666664123535156</v>
      </c>
      <c r="AJ51" s="70">
        <v>2.1929824352264404</v>
      </c>
      <c r="AK51" s="70">
        <v>40</v>
      </c>
      <c r="AL51" s="70">
        <v>11</v>
      </c>
      <c r="AM51" s="70">
        <v>33</v>
      </c>
      <c r="AN51" s="70">
        <v>16</v>
      </c>
      <c r="AO51" s="70">
        <v>111</v>
      </c>
      <c r="AP51" s="70">
        <v>17</v>
      </c>
      <c r="AQ51" s="70">
        <v>18.957345962524414</v>
      </c>
      <c r="AR51" s="70">
        <v>5.2132701873779297</v>
      </c>
      <c r="AS51" s="70">
        <v>15.639810562133789</v>
      </c>
      <c r="AT51" s="70">
        <v>7.5829381942749023</v>
      </c>
      <c r="AU51" s="70">
        <v>52.606636047363281</v>
      </c>
      <c r="AV51" s="70">
        <v>20</v>
      </c>
      <c r="AW51" s="70">
        <v>67</v>
      </c>
      <c r="AX51" s="70">
        <v>54</v>
      </c>
      <c r="AY51" s="70">
        <v>51</v>
      </c>
      <c r="AZ51" s="70">
        <v>17</v>
      </c>
      <c r="BA51" s="70">
        <v>19</v>
      </c>
      <c r="BB51" s="70">
        <v>9.5693778991699219</v>
      </c>
      <c r="BC51" s="70">
        <v>32.057415008544922</v>
      </c>
      <c r="BD51" s="70">
        <v>25.837320327758789</v>
      </c>
      <c r="BE51" s="70">
        <v>24.401914596557617</v>
      </c>
      <c r="BF51" s="70">
        <v>8.1339712142944336</v>
      </c>
    </row>
    <row r="52" spans="1:58" x14ac:dyDescent="0.25">
      <c r="A52" s="71" t="s">
        <v>181</v>
      </c>
      <c r="B52" s="71" t="s">
        <v>182</v>
      </c>
      <c r="C52" s="72">
        <v>45</v>
      </c>
      <c r="D52" s="72">
        <v>5</v>
      </c>
      <c r="E52" s="72">
        <v>302</v>
      </c>
      <c r="F52" s="72">
        <v>90</v>
      </c>
      <c r="G52" s="72">
        <v>10</v>
      </c>
      <c r="H52" s="72">
        <v>260</v>
      </c>
      <c r="I52" s="72">
        <v>18</v>
      </c>
      <c r="J52" s="72">
        <v>16</v>
      </c>
      <c r="K52" s="72">
        <v>16</v>
      </c>
      <c r="L52" s="72">
        <v>17</v>
      </c>
      <c r="M52" s="72">
        <v>25</v>
      </c>
      <c r="N52" s="72">
        <v>79.510704040527344</v>
      </c>
      <c r="O52" s="72">
        <v>5.5045871734619141</v>
      </c>
      <c r="P52" s="72">
        <v>4.8929662704467773</v>
      </c>
      <c r="Q52" s="72">
        <v>4.8929662704467773</v>
      </c>
      <c r="R52" s="72">
        <v>5.1987767219543457</v>
      </c>
      <c r="S52" s="72">
        <v>57</v>
      </c>
      <c r="T52" s="72">
        <v>122</v>
      </c>
      <c r="U52" s="72">
        <v>74</v>
      </c>
      <c r="V52" s="72">
        <v>49</v>
      </c>
      <c r="W52" s="72">
        <v>50</v>
      </c>
      <c r="X52" s="72">
        <v>16.193181991577148</v>
      </c>
      <c r="Y52" s="72">
        <v>34.659091949462891</v>
      </c>
      <c r="Z52" s="72">
        <v>21.022727966308594</v>
      </c>
      <c r="AA52" s="72">
        <v>13.920454978942871</v>
      </c>
      <c r="AB52" s="72">
        <v>14.204545021057129</v>
      </c>
      <c r="AC52" s="72">
        <v>9</v>
      </c>
      <c r="AD52" s="72">
        <v>5</v>
      </c>
      <c r="AE52" s="72">
        <v>167</v>
      </c>
      <c r="AF52" s="72">
        <v>171</v>
      </c>
      <c r="AG52" s="72">
        <v>2.5568182468414307</v>
      </c>
      <c r="AH52" s="72">
        <v>1.4204545021057129</v>
      </c>
      <c r="AI52" s="72">
        <v>47.443180084228516</v>
      </c>
      <c r="AJ52" s="72">
        <v>48.579544067382813</v>
      </c>
      <c r="AK52" s="72">
        <v>72</v>
      </c>
      <c r="AL52" s="72">
        <v>10</v>
      </c>
      <c r="AM52" s="72">
        <v>21</v>
      </c>
      <c r="AN52" s="72">
        <v>3</v>
      </c>
      <c r="AO52" s="72">
        <v>54</v>
      </c>
      <c r="AP52" s="72">
        <v>192</v>
      </c>
      <c r="AQ52" s="72">
        <v>45</v>
      </c>
      <c r="AR52" s="72">
        <v>6.25</v>
      </c>
      <c r="AS52" s="72">
        <v>13.125</v>
      </c>
      <c r="AT52" s="72">
        <v>1.875</v>
      </c>
      <c r="AU52" s="72">
        <v>33.75</v>
      </c>
      <c r="AV52" s="72">
        <v>62</v>
      </c>
      <c r="AW52" s="72">
        <v>89</v>
      </c>
      <c r="AX52" s="72">
        <v>12</v>
      </c>
      <c r="AY52" s="72">
        <v>3</v>
      </c>
      <c r="AZ52" s="72"/>
      <c r="BA52" s="72">
        <v>186</v>
      </c>
      <c r="BB52" s="72">
        <v>37.349395751953125</v>
      </c>
      <c r="BC52" s="72">
        <v>53.614456176757813</v>
      </c>
      <c r="BD52" s="72">
        <v>7.2289156913757324</v>
      </c>
      <c r="BE52" s="72">
        <v>1.8072289228439331</v>
      </c>
      <c r="BF52" s="72"/>
    </row>
    <row r="53" spans="1:58" x14ac:dyDescent="0.25">
      <c r="A53" s="69" t="s">
        <v>183</v>
      </c>
      <c r="B53" s="69" t="s">
        <v>184</v>
      </c>
      <c r="C53" s="70">
        <v>213</v>
      </c>
      <c r="D53" s="70">
        <v>25</v>
      </c>
      <c r="E53" s="70">
        <v>20</v>
      </c>
      <c r="F53" s="70">
        <v>89.495796203613281</v>
      </c>
      <c r="G53" s="70">
        <v>10.504201889038086</v>
      </c>
      <c r="H53" s="70">
        <v>208</v>
      </c>
      <c r="I53" s="70">
        <v>8</v>
      </c>
      <c r="J53" s="70">
        <v>8</v>
      </c>
      <c r="K53" s="70">
        <v>17</v>
      </c>
      <c r="L53" s="70">
        <v>10</v>
      </c>
      <c r="M53" s="70">
        <v>7</v>
      </c>
      <c r="N53" s="70">
        <v>82.868522644042969</v>
      </c>
      <c r="O53" s="70">
        <v>3.187251091003418</v>
      </c>
      <c r="P53" s="70">
        <v>3.187251091003418</v>
      </c>
      <c r="Q53" s="70">
        <v>6.7729082107543945</v>
      </c>
      <c r="R53" s="70">
        <v>3.9840638637542725</v>
      </c>
      <c r="S53" s="70">
        <v>54</v>
      </c>
      <c r="T53" s="70">
        <v>89</v>
      </c>
      <c r="U53" s="70">
        <v>53</v>
      </c>
      <c r="V53" s="70">
        <v>36</v>
      </c>
      <c r="W53" s="70">
        <v>26</v>
      </c>
      <c r="X53" s="70">
        <v>20.930233001708984</v>
      </c>
      <c r="Y53" s="70">
        <v>34.496124267578125</v>
      </c>
      <c r="Z53" s="70">
        <v>20.542634963989258</v>
      </c>
      <c r="AA53" s="70">
        <v>13.953488349914551</v>
      </c>
      <c r="AB53" s="70">
        <v>10.077519416809082</v>
      </c>
      <c r="AC53" s="70">
        <v>19</v>
      </c>
      <c r="AD53" s="70">
        <v>1</v>
      </c>
      <c r="AE53" s="70">
        <v>155</v>
      </c>
      <c r="AF53" s="70">
        <v>83</v>
      </c>
      <c r="AG53" s="70">
        <v>7.3643412590026855</v>
      </c>
      <c r="AH53" s="70">
        <v>0.38759690523147583</v>
      </c>
      <c r="AI53" s="70">
        <v>60.077518463134766</v>
      </c>
      <c r="AJ53" s="70">
        <v>32.170543670654297</v>
      </c>
      <c r="AK53" s="70">
        <v>49</v>
      </c>
      <c r="AL53" s="70">
        <v>12</v>
      </c>
      <c r="AM53" s="70">
        <v>33</v>
      </c>
      <c r="AN53" s="70">
        <v>20</v>
      </c>
      <c r="AO53" s="70">
        <v>125</v>
      </c>
      <c r="AP53" s="70">
        <v>19</v>
      </c>
      <c r="AQ53" s="70">
        <v>20.502092361450195</v>
      </c>
      <c r="AR53" s="70">
        <v>5.0209202766418457</v>
      </c>
      <c r="AS53" s="70">
        <v>13.807531356811523</v>
      </c>
      <c r="AT53" s="70">
        <v>8.3682012557983398</v>
      </c>
      <c r="AU53" s="70">
        <v>52.301254272460938</v>
      </c>
      <c r="AV53" s="70">
        <v>55</v>
      </c>
      <c r="AW53" s="70">
        <v>61</v>
      </c>
      <c r="AX53" s="70">
        <v>33</v>
      </c>
      <c r="AY53" s="70">
        <v>52</v>
      </c>
      <c r="AZ53" s="70">
        <v>30</v>
      </c>
      <c r="BA53" s="70">
        <v>27</v>
      </c>
      <c r="BB53" s="70">
        <v>23.809524536132813</v>
      </c>
      <c r="BC53" s="70">
        <v>26.406927108764648</v>
      </c>
      <c r="BD53" s="70">
        <v>14.285714149475098</v>
      </c>
      <c r="BE53" s="70">
        <v>22.510822296142578</v>
      </c>
      <c r="BF53" s="70">
        <v>12.98701286315918</v>
      </c>
    </row>
    <row r="54" spans="1:58" x14ac:dyDescent="0.25">
      <c r="A54" s="71" t="s">
        <v>185</v>
      </c>
      <c r="B54" s="71" t="s">
        <v>186</v>
      </c>
      <c r="C54" s="72">
        <v>2</v>
      </c>
      <c r="D54" s="72">
        <v>1</v>
      </c>
      <c r="E54" s="72">
        <v>91</v>
      </c>
      <c r="F54" s="72">
        <v>66.666664123535156</v>
      </c>
      <c r="G54" s="72">
        <v>33.333332061767578</v>
      </c>
      <c r="H54" s="72">
        <v>68</v>
      </c>
      <c r="I54" s="72">
        <v>2</v>
      </c>
      <c r="J54" s="72">
        <v>5</v>
      </c>
      <c r="K54" s="72">
        <v>14</v>
      </c>
      <c r="L54" s="72">
        <v>4</v>
      </c>
      <c r="M54" s="72">
        <v>1</v>
      </c>
      <c r="N54" s="72">
        <v>73.118278503417969</v>
      </c>
      <c r="O54" s="72">
        <v>2.1505377292633057</v>
      </c>
      <c r="P54" s="72">
        <v>5.3763442039489746</v>
      </c>
      <c r="Q54" s="72">
        <v>15.053763389587402</v>
      </c>
      <c r="R54" s="72">
        <v>4.3010754585266113</v>
      </c>
      <c r="S54" s="72">
        <v>24</v>
      </c>
      <c r="T54" s="72">
        <v>31</v>
      </c>
      <c r="U54" s="72">
        <v>16</v>
      </c>
      <c r="V54" s="72">
        <v>15</v>
      </c>
      <c r="W54" s="72">
        <v>8</v>
      </c>
      <c r="X54" s="72">
        <v>25.531915664672852</v>
      </c>
      <c r="Y54" s="72">
        <v>32.978721618652344</v>
      </c>
      <c r="Z54" s="72">
        <v>17.021276473999023</v>
      </c>
      <c r="AA54" s="72">
        <v>15.957447052001953</v>
      </c>
      <c r="AB54" s="72">
        <v>8.5106382369995117</v>
      </c>
      <c r="AC54" s="72">
        <v>9</v>
      </c>
      <c r="AD54" s="72"/>
      <c r="AE54" s="72">
        <v>67</v>
      </c>
      <c r="AF54" s="72">
        <v>18</v>
      </c>
      <c r="AG54" s="72">
        <v>9.574467658996582</v>
      </c>
      <c r="AH54" s="72"/>
      <c r="AI54" s="72">
        <v>71.276596069335938</v>
      </c>
      <c r="AJ54" s="72">
        <v>19.148935317993164</v>
      </c>
      <c r="AK54" s="72">
        <v>10</v>
      </c>
      <c r="AL54" s="72">
        <v>8</v>
      </c>
      <c r="AM54" s="72">
        <v>8</v>
      </c>
      <c r="AN54" s="72">
        <v>6</v>
      </c>
      <c r="AO54" s="72">
        <v>55</v>
      </c>
      <c r="AP54" s="72">
        <v>7</v>
      </c>
      <c r="AQ54" s="72">
        <v>11.494253158569336</v>
      </c>
      <c r="AR54" s="72">
        <v>9.1954021453857422</v>
      </c>
      <c r="AS54" s="72">
        <v>9.1954021453857422</v>
      </c>
      <c r="AT54" s="72">
        <v>6.8965516090393066</v>
      </c>
      <c r="AU54" s="72">
        <v>63.218391418457031</v>
      </c>
      <c r="AV54" s="72">
        <v>3</v>
      </c>
      <c r="AW54" s="72">
        <v>33</v>
      </c>
      <c r="AX54" s="72">
        <v>18</v>
      </c>
      <c r="AY54" s="72">
        <v>16</v>
      </c>
      <c r="AZ54" s="72">
        <v>4</v>
      </c>
      <c r="BA54" s="72">
        <v>20</v>
      </c>
      <c r="BB54" s="72">
        <v>4.0540542602539063</v>
      </c>
      <c r="BC54" s="72">
        <v>44.594593048095703</v>
      </c>
      <c r="BD54" s="72">
        <v>24.324323654174805</v>
      </c>
      <c r="BE54" s="72">
        <v>21.621622085571289</v>
      </c>
      <c r="BF54" s="72">
        <v>5.4054055213928223</v>
      </c>
    </row>
    <row r="55" spans="1:58" x14ac:dyDescent="0.25">
      <c r="A55" s="69" t="s">
        <v>187</v>
      </c>
      <c r="B55" s="69" t="s">
        <v>188</v>
      </c>
      <c r="C55" s="70">
        <v>12</v>
      </c>
      <c r="D55" s="70">
        <v>3</v>
      </c>
      <c r="E55" s="70">
        <v>206</v>
      </c>
      <c r="F55" s="70">
        <v>80</v>
      </c>
      <c r="G55" s="70">
        <v>20</v>
      </c>
      <c r="H55" s="70">
        <v>155</v>
      </c>
      <c r="I55" s="70">
        <v>3</v>
      </c>
      <c r="J55" s="70">
        <v>19</v>
      </c>
      <c r="K55" s="70">
        <v>11</v>
      </c>
      <c r="L55" s="70">
        <v>28</v>
      </c>
      <c r="M55" s="70">
        <v>5</v>
      </c>
      <c r="N55" s="70">
        <v>71.759262084960938</v>
      </c>
      <c r="O55" s="70">
        <v>1.3888888359069824</v>
      </c>
      <c r="P55" s="70">
        <v>8.7962961196899414</v>
      </c>
      <c r="Q55" s="70">
        <v>5.092592716217041</v>
      </c>
      <c r="R55" s="70">
        <v>12.962963104248047</v>
      </c>
      <c r="S55" s="70">
        <v>17</v>
      </c>
      <c r="T55" s="70">
        <v>52</v>
      </c>
      <c r="U55" s="70">
        <v>59</v>
      </c>
      <c r="V55" s="70">
        <v>43</v>
      </c>
      <c r="W55" s="70">
        <v>50</v>
      </c>
      <c r="X55" s="70">
        <v>7.6923074722290039</v>
      </c>
      <c r="Y55" s="70">
        <v>23.529411315917969</v>
      </c>
      <c r="Z55" s="70">
        <v>26.696832656860352</v>
      </c>
      <c r="AA55" s="70">
        <v>19.457014083862305</v>
      </c>
      <c r="AB55" s="70">
        <v>22.624433517456055</v>
      </c>
      <c r="AC55" s="70">
        <v>12</v>
      </c>
      <c r="AD55" s="70">
        <v>3</v>
      </c>
      <c r="AE55" s="70">
        <v>189</v>
      </c>
      <c r="AF55" s="70">
        <v>17</v>
      </c>
      <c r="AG55" s="70">
        <v>5.4298644065856934</v>
      </c>
      <c r="AH55" s="70">
        <v>1.3574661016464233</v>
      </c>
      <c r="AI55" s="70">
        <v>85.520362854003906</v>
      </c>
      <c r="AJ55" s="70">
        <v>7.6923074722290039</v>
      </c>
      <c r="AK55" s="70">
        <v>53</v>
      </c>
      <c r="AL55" s="70">
        <v>21</v>
      </c>
      <c r="AM55" s="70">
        <v>23</v>
      </c>
      <c r="AN55" s="70">
        <v>18</v>
      </c>
      <c r="AO55" s="70">
        <v>59</v>
      </c>
      <c r="AP55" s="70">
        <v>47</v>
      </c>
      <c r="AQ55" s="70">
        <v>30.459770202636719</v>
      </c>
      <c r="AR55" s="70">
        <v>12.068965911865234</v>
      </c>
      <c r="AS55" s="70">
        <v>13.218390464782715</v>
      </c>
      <c r="AT55" s="70">
        <v>10.344827651977539</v>
      </c>
      <c r="AU55" s="70">
        <v>33.908046722412109</v>
      </c>
      <c r="AV55" s="70">
        <v>8</v>
      </c>
      <c r="AW55" s="70">
        <v>35</v>
      </c>
      <c r="AX55" s="70">
        <v>7</v>
      </c>
      <c r="AY55" s="70"/>
      <c r="AZ55" s="70">
        <v>2</v>
      </c>
      <c r="BA55" s="70">
        <v>169</v>
      </c>
      <c r="BB55" s="70">
        <v>15.384614944458008</v>
      </c>
      <c r="BC55" s="70">
        <v>67.307693481445313</v>
      </c>
      <c r="BD55" s="70">
        <v>13.461538314819336</v>
      </c>
      <c r="BE55" s="70"/>
      <c r="BF55" s="70">
        <v>3.846153736114502</v>
      </c>
    </row>
    <row r="56" spans="1:58" x14ac:dyDescent="0.25">
      <c r="A56" s="71" t="s">
        <v>189</v>
      </c>
      <c r="B56" s="71" t="s">
        <v>190</v>
      </c>
      <c r="C56" s="72">
        <v>71</v>
      </c>
      <c r="D56" s="72">
        <v>10</v>
      </c>
      <c r="E56" s="72">
        <v>8</v>
      </c>
      <c r="F56" s="72">
        <v>87.654319763183594</v>
      </c>
      <c r="G56" s="72">
        <v>12.34567928314209</v>
      </c>
      <c r="H56" s="72">
        <v>79</v>
      </c>
      <c r="I56" s="72">
        <v>4</v>
      </c>
      <c r="J56" s="72">
        <v>4</v>
      </c>
      <c r="K56" s="72"/>
      <c r="L56" s="72"/>
      <c r="M56" s="72">
        <v>2</v>
      </c>
      <c r="N56" s="72">
        <v>90.804595947265625</v>
      </c>
      <c r="O56" s="72">
        <v>4.5977010726928711</v>
      </c>
      <c r="P56" s="72">
        <v>4.5977010726928711</v>
      </c>
      <c r="Q56" s="72"/>
      <c r="R56" s="72"/>
      <c r="S56" s="72"/>
      <c r="T56" s="72">
        <v>9</v>
      </c>
      <c r="U56" s="72">
        <v>14</v>
      </c>
      <c r="V56" s="72">
        <v>30</v>
      </c>
      <c r="W56" s="72">
        <v>36</v>
      </c>
      <c r="X56" s="72"/>
      <c r="Y56" s="72">
        <v>10.112360000610352</v>
      </c>
      <c r="Z56" s="72">
        <v>15.730337142944336</v>
      </c>
      <c r="AA56" s="72">
        <v>33.707866668701172</v>
      </c>
      <c r="AB56" s="72">
        <v>40.449440002441406</v>
      </c>
      <c r="AC56" s="72"/>
      <c r="AD56" s="72">
        <v>1</v>
      </c>
      <c r="AE56" s="72">
        <v>48</v>
      </c>
      <c r="AF56" s="72">
        <v>40</v>
      </c>
      <c r="AG56" s="72"/>
      <c r="AH56" s="72">
        <v>1.1235954761505127</v>
      </c>
      <c r="AI56" s="72">
        <v>53.932582855224609</v>
      </c>
      <c r="AJ56" s="72">
        <v>44.943820953369141</v>
      </c>
      <c r="AK56" s="72">
        <v>6</v>
      </c>
      <c r="AL56" s="72">
        <v>2</v>
      </c>
      <c r="AM56" s="72">
        <v>11</v>
      </c>
      <c r="AN56" s="72">
        <v>13</v>
      </c>
      <c r="AO56" s="72">
        <v>43</v>
      </c>
      <c r="AP56" s="72">
        <v>14</v>
      </c>
      <c r="AQ56" s="72">
        <v>8</v>
      </c>
      <c r="AR56" s="72">
        <v>2.6666667461395264</v>
      </c>
      <c r="AS56" s="72">
        <v>14.666666984558105</v>
      </c>
      <c r="AT56" s="72">
        <v>17.333333969116211</v>
      </c>
      <c r="AU56" s="72">
        <v>57.333332061767578</v>
      </c>
      <c r="AV56" s="72">
        <v>20</v>
      </c>
      <c r="AW56" s="72">
        <v>19</v>
      </c>
      <c r="AX56" s="72">
        <v>15</v>
      </c>
      <c r="AY56" s="72">
        <v>21</v>
      </c>
      <c r="AZ56" s="72">
        <v>6</v>
      </c>
      <c r="BA56" s="72">
        <v>8</v>
      </c>
      <c r="BB56" s="72">
        <v>24.69135856628418</v>
      </c>
      <c r="BC56" s="72">
        <v>23.456790924072266</v>
      </c>
      <c r="BD56" s="72">
        <v>18.518518447875977</v>
      </c>
      <c r="BE56" s="72">
        <v>25.925926208496094</v>
      </c>
      <c r="BF56" s="72">
        <v>7.407407283782959</v>
      </c>
    </row>
    <row r="57" spans="1:58" x14ac:dyDescent="0.25">
      <c r="A57" s="69" t="s">
        <v>191</v>
      </c>
      <c r="B57" s="69" t="s">
        <v>192</v>
      </c>
      <c r="C57" s="70">
        <v>297</v>
      </c>
      <c r="D57" s="70">
        <v>26</v>
      </c>
      <c r="E57" s="70">
        <v>185</v>
      </c>
      <c r="F57" s="70">
        <v>91.950462341308594</v>
      </c>
      <c r="G57" s="70">
        <v>8.0495357513427734</v>
      </c>
      <c r="H57" s="70">
        <v>488</v>
      </c>
      <c r="I57" s="70">
        <v>2</v>
      </c>
      <c r="J57" s="70">
        <v>8</v>
      </c>
      <c r="K57" s="70">
        <v>3</v>
      </c>
      <c r="L57" s="70">
        <v>4</v>
      </c>
      <c r="M57" s="70">
        <v>3</v>
      </c>
      <c r="N57" s="70">
        <v>96.6336669921875</v>
      </c>
      <c r="O57" s="70">
        <v>0.39603960514068604</v>
      </c>
      <c r="P57" s="70">
        <v>1.5841584205627441</v>
      </c>
      <c r="Q57" s="70">
        <v>0.59405940771102905</v>
      </c>
      <c r="R57" s="70">
        <v>0.79207921028137207</v>
      </c>
      <c r="S57" s="70">
        <v>149</v>
      </c>
      <c r="T57" s="70">
        <v>129</v>
      </c>
      <c r="U57" s="70">
        <v>81</v>
      </c>
      <c r="V57" s="70">
        <v>90</v>
      </c>
      <c r="W57" s="70">
        <v>59</v>
      </c>
      <c r="X57" s="70">
        <v>29.330709457397461</v>
      </c>
      <c r="Y57" s="70">
        <v>25.393701553344727</v>
      </c>
      <c r="Z57" s="70">
        <v>15.944881439208984</v>
      </c>
      <c r="AA57" s="70">
        <v>17.716535568237305</v>
      </c>
      <c r="AB57" s="70">
        <v>11.61417293548584</v>
      </c>
      <c r="AC57" s="70">
        <v>43</v>
      </c>
      <c r="AD57" s="70">
        <v>13</v>
      </c>
      <c r="AE57" s="70">
        <v>301</v>
      </c>
      <c r="AF57" s="70">
        <v>151</v>
      </c>
      <c r="AG57" s="70">
        <v>8.4645671844482422</v>
      </c>
      <c r="AH57" s="70">
        <v>2.5590550899505615</v>
      </c>
      <c r="AI57" s="70">
        <v>59.251968383789063</v>
      </c>
      <c r="AJ57" s="70">
        <v>29.724409103393555</v>
      </c>
      <c r="AK57" s="70">
        <v>139</v>
      </c>
      <c r="AL57" s="70">
        <v>45</v>
      </c>
      <c r="AM57" s="70">
        <v>55</v>
      </c>
      <c r="AN57" s="70">
        <v>39</v>
      </c>
      <c r="AO57" s="70">
        <v>204</v>
      </c>
      <c r="AP57" s="70">
        <v>26</v>
      </c>
      <c r="AQ57" s="70">
        <v>28.838174819946289</v>
      </c>
      <c r="AR57" s="70">
        <v>9.3360996246337891</v>
      </c>
      <c r="AS57" s="70">
        <v>11.410788536071777</v>
      </c>
      <c r="AT57" s="70">
        <v>8.0912866592407227</v>
      </c>
      <c r="AU57" s="70">
        <v>42.323650360107422</v>
      </c>
      <c r="AV57" s="70">
        <v>108</v>
      </c>
      <c r="AW57" s="70">
        <v>165</v>
      </c>
      <c r="AX57" s="70">
        <v>116</v>
      </c>
      <c r="AY57" s="70">
        <v>64</v>
      </c>
      <c r="AZ57" s="70">
        <v>22</v>
      </c>
      <c r="BA57" s="70">
        <v>33</v>
      </c>
      <c r="BB57" s="70">
        <v>22.736841201782227</v>
      </c>
      <c r="BC57" s="70">
        <v>34.736843109130859</v>
      </c>
      <c r="BD57" s="70">
        <v>24.421052932739258</v>
      </c>
      <c r="BE57" s="70">
        <v>13.473684310913086</v>
      </c>
      <c r="BF57" s="70">
        <v>4.6315789222717285</v>
      </c>
    </row>
    <row r="58" spans="1:58" x14ac:dyDescent="0.25">
      <c r="A58" s="71" t="s">
        <v>193</v>
      </c>
      <c r="B58" s="71" t="s">
        <v>194</v>
      </c>
      <c r="C58" s="72">
        <v>263</v>
      </c>
      <c r="D58" s="72">
        <v>16</v>
      </c>
      <c r="E58" s="72">
        <v>58</v>
      </c>
      <c r="F58" s="72">
        <v>94.265235900878906</v>
      </c>
      <c r="G58" s="72">
        <v>5.734766960144043</v>
      </c>
      <c r="H58" s="72">
        <v>330</v>
      </c>
      <c r="I58" s="72">
        <v>3</v>
      </c>
      <c r="J58" s="72">
        <v>1</v>
      </c>
      <c r="K58" s="72"/>
      <c r="L58" s="72">
        <v>2</v>
      </c>
      <c r="M58" s="72">
        <v>1</v>
      </c>
      <c r="N58" s="72">
        <v>98.214286804199219</v>
      </c>
      <c r="O58" s="72">
        <v>0.8928571343421936</v>
      </c>
      <c r="P58" s="72">
        <v>0.2976190447807312</v>
      </c>
      <c r="Q58" s="72"/>
      <c r="R58" s="72">
        <v>0.5952380895614624</v>
      </c>
      <c r="S58" s="72">
        <v>110</v>
      </c>
      <c r="T58" s="72">
        <v>54</v>
      </c>
      <c r="U58" s="72">
        <v>69</v>
      </c>
      <c r="V58" s="72">
        <v>61</v>
      </c>
      <c r="W58" s="72">
        <v>43</v>
      </c>
      <c r="X58" s="72">
        <v>32.640949249267578</v>
      </c>
      <c r="Y58" s="72">
        <v>16.023738861083984</v>
      </c>
      <c r="Z58" s="72">
        <v>20.474777221679688</v>
      </c>
      <c r="AA58" s="72">
        <v>18.10089111328125</v>
      </c>
      <c r="AB58" s="72">
        <v>12.7596435546875</v>
      </c>
      <c r="AC58" s="72">
        <v>29</v>
      </c>
      <c r="AD58" s="72">
        <v>4</v>
      </c>
      <c r="AE58" s="72">
        <v>176</v>
      </c>
      <c r="AF58" s="72">
        <v>128</v>
      </c>
      <c r="AG58" s="72">
        <v>8.6053409576416016</v>
      </c>
      <c r="AH58" s="72">
        <v>1.1869436502456665</v>
      </c>
      <c r="AI58" s="72">
        <v>52.225521087646484</v>
      </c>
      <c r="AJ58" s="72">
        <v>37.982196807861328</v>
      </c>
      <c r="AK58" s="72">
        <v>69</v>
      </c>
      <c r="AL58" s="72">
        <v>24</v>
      </c>
      <c r="AM58" s="72">
        <v>30</v>
      </c>
      <c r="AN58" s="72">
        <v>36</v>
      </c>
      <c r="AO58" s="72">
        <v>165</v>
      </c>
      <c r="AP58" s="72">
        <v>13</v>
      </c>
      <c r="AQ58" s="72">
        <v>21.296297073364258</v>
      </c>
      <c r="AR58" s="72">
        <v>7.407407283782959</v>
      </c>
      <c r="AS58" s="72">
        <v>9.2592592239379883</v>
      </c>
      <c r="AT58" s="72">
        <v>11.111110687255859</v>
      </c>
      <c r="AU58" s="72">
        <v>50.925926208496094</v>
      </c>
      <c r="AV58" s="72">
        <v>103</v>
      </c>
      <c r="AW58" s="72">
        <v>73</v>
      </c>
      <c r="AX58" s="72">
        <v>47</v>
      </c>
      <c r="AY58" s="72">
        <v>57</v>
      </c>
      <c r="AZ58" s="72">
        <v>26</v>
      </c>
      <c r="BA58" s="72">
        <v>31</v>
      </c>
      <c r="BB58" s="72">
        <v>33.660129547119141</v>
      </c>
      <c r="BC58" s="72">
        <v>23.856208801269531</v>
      </c>
      <c r="BD58" s="72">
        <v>15.359477043151855</v>
      </c>
      <c r="BE58" s="72">
        <v>18.627450942993164</v>
      </c>
      <c r="BF58" s="72">
        <v>8.4967317581176758</v>
      </c>
    </row>
    <row r="59" spans="1:58" x14ac:dyDescent="0.25">
      <c r="A59" s="69" t="s">
        <v>195</v>
      </c>
      <c r="B59" s="69" t="s">
        <v>196</v>
      </c>
      <c r="C59" s="70">
        <v>87</v>
      </c>
      <c r="D59" s="70">
        <v>9</v>
      </c>
      <c r="E59" s="70">
        <v>17</v>
      </c>
      <c r="F59" s="70">
        <v>90.625</v>
      </c>
      <c r="G59" s="70">
        <v>9.375</v>
      </c>
      <c r="H59" s="70">
        <v>93</v>
      </c>
      <c r="I59" s="70">
        <v>4</v>
      </c>
      <c r="J59" s="70">
        <v>4</v>
      </c>
      <c r="K59" s="70">
        <v>9</v>
      </c>
      <c r="L59" s="70"/>
      <c r="M59" s="70">
        <v>3</v>
      </c>
      <c r="N59" s="70">
        <v>84.545455932617188</v>
      </c>
      <c r="O59" s="70">
        <v>3.6363637447357178</v>
      </c>
      <c r="P59" s="70">
        <v>3.6363637447357178</v>
      </c>
      <c r="Q59" s="70">
        <v>8.1818180084228516</v>
      </c>
      <c r="R59" s="70"/>
      <c r="S59" s="70">
        <v>11</v>
      </c>
      <c r="T59" s="70">
        <v>30</v>
      </c>
      <c r="U59" s="70">
        <v>15</v>
      </c>
      <c r="V59" s="70">
        <v>26</v>
      </c>
      <c r="W59" s="70">
        <v>31</v>
      </c>
      <c r="X59" s="70">
        <v>9.7345132827758789</v>
      </c>
      <c r="Y59" s="70">
        <v>26.548671722412109</v>
      </c>
      <c r="Z59" s="70">
        <v>13.274335861206055</v>
      </c>
      <c r="AA59" s="70">
        <v>23.00885009765625</v>
      </c>
      <c r="AB59" s="70">
        <v>27.433628082275391</v>
      </c>
      <c r="AC59" s="70">
        <v>13</v>
      </c>
      <c r="AD59" s="70">
        <v>2</v>
      </c>
      <c r="AE59" s="70">
        <v>59</v>
      </c>
      <c r="AF59" s="70">
        <v>39</v>
      </c>
      <c r="AG59" s="70">
        <v>11.504425048828125</v>
      </c>
      <c r="AH59" s="70">
        <v>1.769911527633667</v>
      </c>
      <c r="AI59" s="70">
        <v>52.212390899658203</v>
      </c>
      <c r="AJ59" s="70">
        <v>34.513275146484375</v>
      </c>
      <c r="AK59" s="70">
        <v>19</v>
      </c>
      <c r="AL59" s="70">
        <v>12</v>
      </c>
      <c r="AM59" s="70">
        <v>16</v>
      </c>
      <c r="AN59" s="70">
        <v>11</v>
      </c>
      <c r="AO59" s="70">
        <v>52</v>
      </c>
      <c r="AP59" s="70">
        <v>3</v>
      </c>
      <c r="AQ59" s="70">
        <v>17.272727966308594</v>
      </c>
      <c r="AR59" s="70">
        <v>10.909090995788574</v>
      </c>
      <c r="AS59" s="70">
        <v>14.545454978942871</v>
      </c>
      <c r="AT59" s="70">
        <v>10</v>
      </c>
      <c r="AU59" s="70">
        <v>47.272727966308594</v>
      </c>
      <c r="AV59" s="70">
        <v>39</v>
      </c>
      <c r="AW59" s="70">
        <v>16</v>
      </c>
      <c r="AX59" s="70">
        <v>16</v>
      </c>
      <c r="AY59" s="70">
        <v>25</v>
      </c>
      <c r="AZ59" s="70">
        <v>14</v>
      </c>
      <c r="BA59" s="70">
        <v>3</v>
      </c>
      <c r="BB59" s="70">
        <v>35.454544067382813</v>
      </c>
      <c r="BC59" s="70">
        <v>14.545454978942871</v>
      </c>
      <c r="BD59" s="70">
        <v>14.545454978942871</v>
      </c>
      <c r="BE59" s="70">
        <v>22.727272033691406</v>
      </c>
      <c r="BF59" s="70">
        <v>12.727272987365723</v>
      </c>
    </row>
    <row r="60" spans="1:58" x14ac:dyDescent="0.25">
      <c r="A60" s="71" t="s">
        <v>197</v>
      </c>
      <c r="B60" s="71" t="s">
        <v>198</v>
      </c>
      <c r="C60" s="72">
        <v>94</v>
      </c>
      <c r="D60" s="72">
        <v>10</v>
      </c>
      <c r="E60" s="72">
        <v>18</v>
      </c>
      <c r="F60" s="72">
        <v>90.384613037109375</v>
      </c>
      <c r="G60" s="72">
        <v>9.6153850555419922</v>
      </c>
      <c r="H60" s="72">
        <v>117</v>
      </c>
      <c r="I60" s="72">
        <v>2</v>
      </c>
      <c r="J60" s="72">
        <v>1</v>
      </c>
      <c r="K60" s="72">
        <v>1</v>
      </c>
      <c r="L60" s="72">
        <v>1</v>
      </c>
      <c r="M60" s="72"/>
      <c r="N60" s="72">
        <v>95.901641845703125</v>
      </c>
      <c r="O60" s="72">
        <v>1.6393442153930664</v>
      </c>
      <c r="P60" s="72">
        <v>0.8196721076965332</v>
      </c>
      <c r="Q60" s="72">
        <v>0.8196721076965332</v>
      </c>
      <c r="R60" s="72">
        <v>0.8196721076965332</v>
      </c>
      <c r="S60" s="72">
        <v>33</v>
      </c>
      <c r="T60" s="72">
        <v>23</v>
      </c>
      <c r="U60" s="72">
        <v>16</v>
      </c>
      <c r="V60" s="72">
        <v>17</v>
      </c>
      <c r="W60" s="72">
        <v>33</v>
      </c>
      <c r="X60" s="72">
        <v>27.04918098449707</v>
      </c>
      <c r="Y60" s="72">
        <v>18.852458953857422</v>
      </c>
      <c r="Z60" s="72">
        <v>13.114753723144531</v>
      </c>
      <c r="AA60" s="72">
        <v>13.934426307678223</v>
      </c>
      <c r="AB60" s="72">
        <v>27.04918098449707</v>
      </c>
      <c r="AC60" s="72">
        <v>7</v>
      </c>
      <c r="AD60" s="72"/>
      <c r="AE60" s="72">
        <v>69</v>
      </c>
      <c r="AF60" s="72">
        <v>46</v>
      </c>
      <c r="AG60" s="72">
        <v>5.7377047538757324</v>
      </c>
      <c r="AH60" s="72"/>
      <c r="AI60" s="72">
        <v>56.557376861572266</v>
      </c>
      <c r="AJ60" s="72">
        <v>37.704917907714844</v>
      </c>
      <c r="AK60" s="72">
        <v>32</v>
      </c>
      <c r="AL60" s="72">
        <v>7</v>
      </c>
      <c r="AM60" s="72">
        <v>17</v>
      </c>
      <c r="AN60" s="72">
        <v>13</v>
      </c>
      <c r="AO60" s="72">
        <v>50</v>
      </c>
      <c r="AP60" s="72">
        <v>3</v>
      </c>
      <c r="AQ60" s="72">
        <v>26.890756607055664</v>
      </c>
      <c r="AR60" s="72">
        <v>5.8823528289794922</v>
      </c>
      <c r="AS60" s="72">
        <v>14.285714149475098</v>
      </c>
      <c r="AT60" s="72">
        <v>10.924369812011719</v>
      </c>
      <c r="AU60" s="72">
        <v>42.016807556152344</v>
      </c>
      <c r="AV60" s="72">
        <v>24</v>
      </c>
      <c r="AW60" s="72">
        <v>29</v>
      </c>
      <c r="AX60" s="72">
        <v>15</v>
      </c>
      <c r="AY60" s="72">
        <v>35</v>
      </c>
      <c r="AZ60" s="72">
        <v>13</v>
      </c>
      <c r="BA60" s="72">
        <v>6</v>
      </c>
      <c r="BB60" s="72">
        <v>20.689655303955078</v>
      </c>
      <c r="BC60" s="72">
        <v>25</v>
      </c>
      <c r="BD60" s="72">
        <v>12.931034088134766</v>
      </c>
      <c r="BE60" s="72">
        <v>30.172412872314453</v>
      </c>
      <c r="BF60" s="72">
        <v>11.206896781921387</v>
      </c>
    </row>
    <row r="61" spans="1:58" x14ac:dyDescent="0.25">
      <c r="A61" s="69" t="s">
        <v>199</v>
      </c>
      <c r="B61" s="69" t="s">
        <v>200</v>
      </c>
      <c r="C61" s="70">
        <v>174</v>
      </c>
      <c r="D61" s="70">
        <v>31</v>
      </c>
      <c r="E61" s="70">
        <v>130</v>
      </c>
      <c r="F61" s="70">
        <v>84.8780517578125</v>
      </c>
      <c r="G61" s="70">
        <v>15.121951103210449</v>
      </c>
      <c r="H61" s="70">
        <v>259</v>
      </c>
      <c r="I61" s="70">
        <v>15</v>
      </c>
      <c r="J61" s="70">
        <v>13</v>
      </c>
      <c r="K61" s="70">
        <v>29</v>
      </c>
      <c r="L61" s="70">
        <v>15</v>
      </c>
      <c r="M61" s="70">
        <v>4</v>
      </c>
      <c r="N61" s="70">
        <v>78.247734069824219</v>
      </c>
      <c r="O61" s="70">
        <v>4.5317220687866211</v>
      </c>
      <c r="P61" s="70">
        <v>3.9274923801422119</v>
      </c>
      <c r="Q61" s="70">
        <v>8.7613296508789063</v>
      </c>
      <c r="R61" s="70">
        <v>4.5317220687866211</v>
      </c>
      <c r="S61" s="70">
        <v>62</v>
      </c>
      <c r="T61" s="70">
        <v>76</v>
      </c>
      <c r="U61" s="70">
        <v>41</v>
      </c>
      <c r="V61" s="70">
        <v>71</v>
      </c>
      <c r="W61" s="70">
        <v>85</v>
      </c>
      <c r="X61" s="70">
        <v>18.507463455200195</v>
      </c>
      <c r="Y61" s="70">
        <v>22.686567306518555</v>
      </c>
      <c r="Z61" s="70">
        <v>12.238805770874023</v>
      </c>
      <c r="AA61" s="70">
        <v>21.19403076171875</v>
      </c>
      <c r="AB61" s="70">
        <v>25.373134613037109</v>
      </c>
      <c r="AC61" s="70">
        <v>12</v>
      </c>
      <c r="AD61" s="70"/>
      <c r="AE61" s="70">
        <v>130</v>
      </c>
      <c r="AF61" s="70">
        <v>193</v>
      </c>
      <c r="AG61" s="70">
        <v>3.5820896625518799</v>
      </c>
      <c r="AH61" s="70"/>
      <c r="AI61" s="70">
        <v>38.80596923828125</v>
      </c>
      <c r="AJ61" s="70">
        <v>57.6119384765625</v>
      </c>
      <c r="AK61" s="70">
        <v>75</v>
      </c>
      <c r="AL61" s="70">
        <v>21</v>
      </c>
      <c r="AM61" s="70">
        <v>21</v>
      </c>
      <c r="AN61" s="70">
        <v>16</v>
      </c>
      <c r="AO61" s="70">
        <v>150</v>
      </c>
      <c r="AP61" s="70">
        <v>52</v>
      </c>
      <c r="AQ61" s="70">
        <v>26.501766204833984</v>
      </c>
      <c r="AR61" s="70">
        <v>7.420494556427002</v>
      </c>
      <c r="AS61" s="70">
        <v>7.420494556427002</v>
      </c>
      <c r="AT61" s="70">
        <v>5.6537103652954102</v>
      </c>
      <c r="AU61" s="70">
        <v>53.003532409667969</v>
      </c>
      <c r="AV61" s="70">
        <v>53</v>
      </c>
      <c r="AW61" s="70">
        <v>84</v>
      </c>
      <c r="AX61" s="70">
        <v>47</v>
      </c>
      <c r="AY61" s="70">
        <v>39</v>
      </c>
      <c r="AZ61" s="70">
        <v>17</v>
      </c>
      <c r="BA61" s="70">
        <v>95</v>
      </c>
      <c r="BB61" s="70">
        <v>22.083333969116211</v>
      </c>
      <c r="BC61" s="70">
        <v>35</v>
      </c>
      <c r="BD61" s="70">
        <v>19.583333969116211</v>
      </c>
      <c r="BE61" s="70">
        <v>16.25</v>
      </c>
      <c r="BF61" s="70">
        <v>7.0833334922790527</v>
      </c>
    </row>
    <row r="62" spans="1:58" x14ac:dyDescent="0.25">
      <c r="A62" s="71" t="s">
        <v>201</v>
      </c>
      <c r="B62" s="71" t="s">
        <v>202</v>
      </c>
      <c r="C62" s="72">
        <v>96</v>
      </c>
      <c r="D62" s="72">
        <v>6</v>
      </c>
      <c r="E62" s="72">
        <v>150</v>
      </c>
      <c r="F62" s="72">
        <v>94.117645263671875</v>
      </c>
      <c r="G62" s="72">
        <v>5.8823528289794922</v>
      </c>
      <c r="H62" s="72">
        <v>234</v>
      </c>
      <c r="I62" s="72">
        <v>3</v>
      </c>
      <c r="J62" s="72">
        <v>2</v>
      </c>
      <c r="K62" s="72">
        <v>2</v>
      </c>
      <c r="L62" s="72">
        <v>4</v>
      </c>
      <c r="M62" s="72">
        <v>7</v>
      </c>
      <c r="N62" s="72">
        <v>95.510200500488281</v>
      </c>
      <c r="O62" s="72">
        <v>1.2244898080825806</v>
      </c>
      <c r="P62" s="72">
        <v>0.8163265585899353</v>
      </c>
      <c r="Q62" s="72">
        <v>0.8163265585899353</v>
      </c>
      <c r="R62" s="72">
        <v>1.6326531171798706</v>
      </c>
      <c r="S62" s="72">
        <v>89</v>
      </c>
      <c r="T62" s="72">
        <v>65</v>
      </c>
      <c r="U62" s="72">
        <v>61</v>
      </c>
      <c r="V62" s="72">
        <v>30</v>
      </c>
      <c r="W62" s="72">
        <v>7</v>
      </c>
      <c r="X62" s="72">
        <v>35.317459106445313</v>
      </c>
      <c r="Y62" s="72">
        <v>25.793651580810547</v>
      </c>
      <c r="Z62" s="72">
        <v>24.206348419189453</v>
      </c>
      <c r="AA62" s="72">
        <v>11.904762268066406</v>
      </c>
      <c r="AB62" s="72">
        <v>2.7777776718139648</v>
      </c>
      <c r="AC62" s="72">
        <v>19</v>
      </c>
      <c r="AD62" s="72">
        <v>2</v>
      </c>
      <c r="AE62" s="72">
        <v>131</v>
      </c>
      <c r="AF62" s="72">
        <v>100</v>
      </c>
      <c r="AG62" s="72">
        <v>7.5396823883056641</v>
      </c>
      <c r="AH62" s="72">
        <v>0.79365080595016479</v>
      </c>
      <c r="AI62" s="72">
        <v>51.984127044677734</v>
      </c>
      <c r="AJ62" s="72">
        <v>39.682540893554688</v>
      </c>
      <c r="AK62" s="72">
        <v>34</v>
      </c>
      <c r="AL62" s="72">
        <v>22</v>
      </c>
      <c r="AM62" s="72">
        <v>30</v>
      </c>
      <c r="AN62" s="72">
        <v>16</v>
      </c>
      <c r="AO62" s="72">
        <v>144</v>
      </c>
      <c r="AP62" s="72">
        <v>6</v>
      </c>
      <c r="AQ62" s="72">
        <v>13.821138381958008</v>
      </c>
      <c r="AR62" s="72">
        <v>8.943089485168457</v>
      </c>
      <c r="AS62" s="72">
        <v>12.195121765136719</v>
      </c>
      <c r="AT62" s="72">
        <v>6.5040650367736816</v>
      </c>
      <c r="AU62" s="72">
        <v>58.536586761474609</v>
      </c>
      <c r="AV62" s="72">
        <v>61</v>
      </c>
      <c r="AW62" s="72">
        <v>42</v>
      </c>
      <c r="AX62" s="72">
        <v>33</v>
      </c>
      <c r="AY62" s="72">
        <v>65</v>
      </c>
      <c r="AZ62" s="72">
        <v>16</v>
      </c>
      <c r="BA62" s="72">
        <v>35</v>
      </c>
      <c r="BB62" s="72">
        <v>28.110599517822266</v>
      </c>
      <c r="BC62" s="72">
        <v>19.354839324951172</v>
      </c>
      <c r="BD62" s="72">
        <v>15.20737361907959</v>
      </c>
      <c r="BE62" s="72">
        <v>29.953916549682617</v>
      </c>
      <c r="BF62" s="72">
        <v>7.3732719421386719</v>
      </c>
    </row>
    <row r="63" spans="1:58" x14ac:dyDescent="0.25">
      <c r="A63" s="69" t="s">
        <v>203</v>
      </c>
      <c r="B63" s="69" t="s">
        <v>204</v>
      </c>
      <c r="C63" s="70">
        <v>135</v>
      </c>
      <c r="D63" s="70">
        <v>11</v>
      </c>
      <c r="E63" s="70">
        <v>260</v>
      </c>
      <c r="F63" s="70">
        <v>92.465751647949219</v>
      </c>
      <c r="G63" s="70">
        <v>7.5342464447021484</v>
      </c>
      <c r="H63" s="70">
        <v>390</v>
      </c>
      <c r="I63" s="70">
        <v>3</v>
      </c>
      <c r="J63" s="70">
        <v>3</v>
      </c>
      <c r="K63" s="70">
        <v>1</v>
      </c>
      <c r="L63" s="70">
        <v>5</v>
      </c>
      <c r="M63" s="70">
        <v>4</v>
      </c>
      <c r="N63" s="70">
        <v>97.014923095703125</v>
      </c>
      <c r="O63" s="70">
        <v>0.746268630027771</v>
      </c>
      <c r="P63" s="70">
        <v>0.746268630027771</v>
      </c>
      <c r="Q63" s="70">
        <v>0.24875621497631073</v>
      </c>
      <c r="R63" s="70">
        <v>1.2437810897827148</v>
      </c>
      <c r="S63" s="70">
        <v>91</v>
      </c>
      <c r="T63" s="70">
        <v>122</v>
      </c>
      <c r="U63" s="70">
        <v>86</v>
      </c>
      <c r="V63" s="70">
        <v>66</v>
      </c>
      <c r="W63" s="70">
        <v>41</v>
      </c>
      <c r="X63" s="70">
        <v>22.413793563842773</v>
      </c>
      <c r="Y63" s="70">
        <v>30.049261093139648</v>
      </c>
      <c r="Z63" s="70">
        <v>21.182266235351563</v>
      </c>
      <c r="AA63" s="70">
        <v>16.256156921386719</v>
      </c>
      <c r="AB63" s="70">
        <v>10.098522186279297</v>
      </c>
      <c r="AC63" s="70">
        <v>24</v>
      </c>
      <c r="AD63" s="70">
        <v>5</v>
      </c>
      <c r="AE63" s="70">
        <v>214</v>
      </c>
      <c r="AF63" s="70">
        <v>163</v>
      </c>
      <c r="AG63" s="70">
        <v>5.9113302230834961</v>
      </c>
      <c r="AH63" s="70">
        <v>1.2315270900726318</v>
      </c>
      <c r="AI63" s="70">
        <v>52.709358215332031</v>
      </c>
      <c r="AJ63" s="70">
        <v>40.147781372070313</v>
      </c>
      <c r="AK63" s="70">
        <v>113</v>
      </c>
      <c r="AL63" s="70">
        <v>31</v>
      </c>
      <c r="AM63" s="70">
        <v>27</v>
      </c>
      <c r="AN63" s="70">
        <v>17</v>
      </c>
      <c r="AO63" s="70">
        <v>151</v>
      </c>
      <c r="AP63" s="70">
        <v>67</v>
      </c>
      <c r="AQ63" s="70">
        <v>33.333332061767578</v>
      </c>
      <c r="AR63" s="70">
        <v>9.1445426940917969</v>
      </c>
      <c r="AS63" s="70">
        <v>7.964601993560791</v>
      </c>
      <c r="AT63" s="70">
        <v>5.0147490501403809</v>
      </c>
      <c r="AU63" s="70">
        <v>44.542774200439453</v>
      </c>
      <c r="AV63" s="70">
        <v>76</v>
      </c>
      <c r="AW63" s="70">
        <v>114</v>
      </c>
      <c r="AX63" s="70">
        <v>73</v>
      </c>
      <c r="AY63" s="70">
        <v>89</v>
      </c>
      <c r="AZ63" s="70">
        <v>14</v>
      </c>
      <c r="BA63" s="70">
        <v>40</v>
      </c>
      <c r="BB63" s="70">
        <v>20.76502799987793</v>
      </c>
      <c r="BC63" s="70">
        <v>31.147541046142578</v>
      </c>
      <c r="BD63" s="70">
        <v>19.945354461669922</v>
      </c>
      <c r="BE63" s="70">
        <v>24.316940307617188</v>
      </c>
      <c r="BF63" s="70">
        <v>3.825136661529541</v>
      </c>
    </row>
    <row r="64" spans="1:58" x14ac:dyDescent="0.25">
      <c r="A64" s="71" t="s">
        <v>205</v>
      </c>
      <c r="B64" s="71" t="s">
        <v>206</v>
      </c>
      <c r="C64" s="72">
        <v>281</v>
      </c>
      <c r="D64" s="72">
        <v>44</v>
      </c>
      <c r="E64" s="72">
        <v>33</v>
      </c>
      <c r="F64" s="72">
        <v>86.461540222167969</v>
      </c>
      <c r="G64" s="72">
        <v>13.538461685180664</v>
      </c>
      <c r="H64" s="72">
        <v>324</v>
      </c>
      <c r="I64" s="72">
        <v>4</v>
      </c>
      <c r="J64" s="72">
        <v>12</v>
      </c>
      <c r="K64" s="72">
        <v>8</v>
      </c>
      <c r="L64" s="72">
        <v>5</v>
      </c>
      <c r="M64" s="72">
        <v>5</v>
      </c>
      <c r="N64" s="72">
        <v>91.784706115722656</v>
      </c>
      <c r="O64" s="72">
        <v>1.1331444978713989</v>
      </c>
      <c r="P64" s="72">
        <v>3.3994333744049072</v>
      </c>
      <c r="Q64" s="72">
        <v>2.2662889957427979</v>
      </c>
      <c r="R64" s="72">
        <v>1.4164305925369263</v>
      </c>
      <c r="S64" s="72">
        <v>71</v>
      </c>
      <c r="T64" s="72">
        <v>89</v>
      </c>
      <c r="U64" s="72">
        <v>82</v>
      </c>
      <c r="V64" s="72">
        <v>74</v>
      </c>
      <c r="W64" s="72">
        <v>42</v>
      </c>
      <c r="X64" s="72">
        <v>19.832403182983398</v>
      </c>
      <c r="Y64" s="72">
        <v>24.860334396362305</v>
      </c>
      <c r="Z64" s="72">
        <v>22.905027389526367</v>
      </c>
      <c r="AA64" s="72">
        <v>20.670391082763672</v>
      </c>
      <c r="AB64" s="72">
        <v>11.731843948364258</v>
      </c>
      <c r="AC64" s="72">
        <v>18</v>
      </c>
      <c r="AD64" s="72">
        <v>15</v>
      </c>
      <c r="AE64" s="72">
        <v>222</v>
      </c>
      <c r="AF64" s="72">
        <v>103</v>
      </c>
      <c r="AG64" s="72">
        <v>5.0279331207275391</v>
      </c>
      <c r="AH64" s="72">
        <v>4.1899442672729492</v>
      </c>
      <c r="AI64" s="72">
        <v>62.011173248291016</v>
      </c>
      <c r="AJ64" s="72">
        <v>28.770950317382813</v>
      </c>
      <c r="AK64" s="72">
        <v>97</v>
      </c>
      <c r="AL64" s="72">
        <v>23</v>
      </c>
      <c r="AM64" s="72">
        <v>43</v>
      </c>
      <c r="AN64" s="72">
        <v>31</v>
      </c>
      <c r="AO64" s="72">
        <v>151</v>
      </c>
      <c r="AP64" s="72">
        <v>13</v>
      </c>
      <c r="AQ64" s="72">
        <v>28.115942001342773</v>
      </c>
      <c r="AR64" s="72">
        <v>6.6666665077209473</v>
      </c>
      <c r="AS64" s="72">
        <v>12.463768005371094</v>
      </c>
      <c r="AT64" s="72">
        <v>8.9855070114135742</v>
      </c>
      <c r="AU64" s="72">
        <v>43.768115997314453</v>
      </c>
      <c r="AV64" s="72">
        <v>74</v>
      </c>
      <c r="AW64" s="72">
        <v>109</v>
      </c>
      <c r="AX64" s="72">
        <v>53</v>
      </c>
      <c r="AY64" s="72">
        <v>85</v>
      </c>
      <c r="AZ64" s="72">
        <v>18</v>
      </c>
      <c r="BA64" s="72">
        <v>19</v>
      </c>
      <c r="BB64" s="72">
        <v>21.828908920288086</v>
      </c>
      <c r="BC64" s="72">
        <v>32.153392791748047</v>
      </c>
      <c r="BD64" s="72">
        <v>15.634218215942383</v>
      </c>
      <c r="BE64" s="72">
        <v>25.073745727539063</v>
      </c>
      <c r="BF64" s="72">
        <v>5.3097343444824219</v>
      </c>
    </row>
    <row r="65" spans="1:58" x14ac:dyDescent="0.25">
      <c r="A65" s="69" t="s">
        <v>207</v>
      </c>
      <c r="B65" s="69" t="s">
        <v>208</v>
      </c>
      <c r="C65" s="70">
        <v>63</v>
      </c>
      <c r="D65" s="70">
        <v>7</v>
      </c>
      <c r="E65" s="70">
        <v>13</v>
      </c>
      <c r="F65" s="70">
        <v>90</v>
      </c>
      <c r="G65" s="70">
        <v>10</v>
      </c>
      <c r="H65" s="70">
        <v>55</v>
      </c>
      <c r="I65" s="70">
        <v>5</v>
      </c>
      <c r="J65" s="70">
        <v>6</v>
      </c>
      <c r="K65" s="70">
        <v>6</v>
      </c>
      <c r="L65" s="70">
        <v>7</v>
      </c>
      <c r="M65" s="70">
        <v>4</v>
      </c>
      <c r="N65" s="70">
        <v>69.620254516601563</v>
      </c>
      <c r="O65" s="70">
        <v>6.3291139602661133</v>
      </c>
      <c r="P65" s="70">
        <v>7.5949368476867676</v>
      </c>
      <c r="Q65" s="70">
        <v>7.5949368476867676</v>
      </c>
      <c r="R65" s="70">
        <v>8.8607597351074219</v>
      </c>
      <c r="S65" s="70">
        <v>21</v>
      </c>
      <c r="T65" s="70">
        <v>28</v>
      </c>
      <c r="U65" s="70">
        <v>17</v>
      </c>
      <c r="V65" s="70">
        <v>14</v>
      </c>
      <c r="W65" s="70">
        <v>3</v>
      </c>
      <c r="X65" s="70">
        <v>25.301204681396484</v>
      </c>
      <c r="Y65" s="70">
        <v>33.734939575195313</v>
      </c>
      <c r="Z65" s="70">
        <v>20.481927871704102</v>
      </c>
      <c r="AA65" s="70">
        <v>16.867469787597656</v>
      </c>
      <c r="AB65" s="70">
        <v>3.6144578456878662</v>
      </c>
      <c r="AC65" s="70">
        <v>7</v>
      </c>
      <c r="AD65" s="70">
        <v>2</v>
      </c>
      <c r="AE65" s="70">
        <v>68</v>
      </c>
      <c r="AF65" s="70">
        <v>6</v>
      </c>
      <c r="AG65" s="70">
        <v>8.4337348937988281</v>
      </c>
      <c r="AH65" s="70">
        <v>2.4096386432647705</v>
      </c>
      <c r="AI65" s="70">
        <v>81.927711486816406</v>
      </c>
      <c r="AJ65" s="70">
        <v>7.2289156913757324</v>
      </c>
      <c r="AK65" s="70">
        <v>21</v>
      </c>
      <c r="AL65" s="70">
        <v>5</v>
      </c>
      <c r="AM65" s="70">
        <v>10</v>
      </c>
      <c r="AN65" s="70">
        <v>4</v>
      </c>
      <c r="AO65" s="70">
        <v>41</v>
      </c>
      <c r="AP65" s="70">
        <v>2</v>
      </c>
      <c r="AQ65" s="70">
        <v>25.925926208496094</v>
      </c>
      <c r="AR65" s="70">
        <v>6.1728396415710449</v>
      </c>
      <c r="AS65" s="70">
        <v>12.34567928314209</v>
      </c>
      <c r="AT65" s="70">
        <v>4.9382715225219727</v>
      </c>
      <c r="AU65" s="70">
        <v>50.617282867431641</v>
      </c>
      <c r="AV65" s="70">
        <v>9</v>
      </c>
      <c r="AW65" s="70">
        <v>38</v>
      </c>
      <c r="AX65" s="70">
        <v>11</v>
      </c>
      <c r="AY65" s="70">
        <v>11</v>
      </c>
      <c r="AZ65" s="70">
        <v>3</v>
      </c>
      <c r="BA65" s="70">
        <v>11</v>
      </c>
      <c r="BB65" s="70">
        <v>12.5</v>
      </c>
      <c r="BC65" s="70">
        <v>52.777778625488281</v>
      </c>
      <c r="BD65" s="70">
        <v>15.277777671813965</v>
      </c>
      <c r="BE65" s="70">
        <v>15.277777671813965</v>
      </c>
      <c r="BF65" s="70">
        <v>4.1666665077209473</v>
      </c>
    </row>
    <row r="66" spans="1:58" x14ac:dyDescent="0.25">
      <c r="A66" s="71" t="s">
        <v>209</v>
      </c>
      <c r="B66" s="71" t="s">
        <v>210</v>
      </c>
      <c r="C66" s="72">
        <v>118</v>
      </c>
      <c r="D66" s="72">
        <v>15</v>
      </c>
      <c r="E66" s="72">
        <v>116</v>
      </c>
      <c r="F66" s="72">
        <v>88.7218017578125</v>
      </c>
      <c r="G66" s="72">
        <v>11.278195381164551</v>
      </c>
      <c r="H66" s="72">
        <v>219</v>
      </c>
      <c r="I66" s="72">
        <v>6</v>
      </c>
      <c r="J66" s="72">
        <v>13</v>
      </c>
      <c r="K66" s="72">
        <v>2</v>
      </c>
      <c r="L66" s="72">
        <v>1</v>
      </c>
      <c r="M66" s="72">
        <v>8</v>
      </c>
      <c r="N66" s="72">
        <v>90.871368408203125</v>
      </c>
      <c r="O66" s="72">
        <v>2.4896266460418701</v>
      </c>
      <c r="P66" s="72">
        <v>5.394190788269043</v>
      </c>
      <c r="Q66" s="72">
        <v>0.82987552881240845</v>
      </c>
      <c r="R66" s="72">
        <v>0.41493776440620422</v>
      </c>
      <c r="S66" s="72">
        <v>87</v>
      </c>
      <c r="T66" s="72">
        <v>53</v>
      </c>
      <c r="U66" s="72">
        <v>45</v>
      </c>
      <c r="V66" s="72">
        <v>47</v>
      </c>
      <c r="W66" s="72">
        <v>17</v>
      </c>
      <c r="X66" s="72">
        <v>34.93975830078125</v>
      </c>
      <c r="Y66" s="72">
        <v>21.285140991210938</v>
      </c>
      <c r="Z66" s="72">
        <v>18.072288513183594</v>
      </c>
      <c r="AA66" s="72">
        <v>18.87550163269043</v>
      </c>
      <c r="AB66" s="72">
        <v>6.8273091316223145</v>
      </c>
      <c r="AC66" s="72">
        <v>14</v>
      </c>
      <c r="AD66" s="72">
        <v>2</v>
      </c>
      <c r="AE66" s="72">
        <v>138</v>
      </c>
      <c r="AF66" s="72">
        <v>95</v>
      </c>
      <c r="AG66" s="72">
        <v>5.6224899291992188</v>
      </c>
      <c r="AH66" s="72">
        <v>0.80321288108825684</v>
      </c>
      <c r="AI66" s="72">
        <v>55.421688079833984</v>
      </c>
      <c r="AJ66" s="72">
        <v>38.152610778808594</v>
      </c>
      <c r="AK66" s="72">
        <v>40</v>
      </c>
      <c r="AL66" s="72">
        <v>19</v>
      </c>
      <c r="AM66" s="72">
        <v>15</v>
      </c>
      <c r="AN66" s="72">
        <v>26</v>
      </c>
      <c r="AO66" s="72">
        <v>109</v>
      </c>
      <c r="AP66" s="72">
        <v>40</v>
      </c>
      <c r="AQ66" s="72">
        <v>19.138755798339844</v>
      </c>
      <c r="AR66" s="72">
        <v>9.0909090042114258</v>
      </c>
      <c r="AS66" s="72">
        <v>7.1770334243774414</v>
      </c>
      <c r="AT66" s="72">
        <v>12.440191268920898</v>
      </c>
      <c r="AU66" s="72">
        <v>52.153110504150391</v>
      </c>
      <c r="AV66" s="72">
        <v>19</v>
      </c>
      <c r="AW66" s="72">
        <v>62</v>
      </c>
      <c r="AX66" s="72">
        <v>61</v>
      </c>
      <c r="AY66" s="72">
        <v>35</v>
      </c>
      <c r="AZ66" s="72">
        <v>20</v>
      </c>
      <c r="BA66" s="72">
        <v>52</v>
      </c>
      <c r="BB66" s="72">
        <v>9.6446704864501953</v>
      </c>
      <c r="BC66" s="72">
        <v>31.472082138061523</v>
      </c>
      <c r="BD66" s="72">
        <v>30.964466094970703</v>
      </c>
      <c r="BE66" s="72">
        <v>17.766496658325195</v>
      </c>
      <c r="BF66" s="72">
        <v>10.152284622192383</v>
      </c>
    </row>
    <row r="67" spans="1:58" x14ac:dyDescent="0.25">
      <c r="A67" s="69" t="s">
        <v>211</v>
      </c>
      <c r="B67" s="69" t="s">
        <v>212</v>
      </c>
      <c r="C67" s="70">
        <v>91</v>
      </c>
      <c r="D67" s="70">
        <v>10</v>
      </c>
      <c r="E67" s="70">
        <v>18</v>
      </c>
      <c r="F67" s="70">
        <v>90.099006652832031</v>
      </c>
      <c r="G67" s="70">
        <v>9.9009904861450195</v>
      </c>
      <c r="H67" s="70">
        <v>93</v>
      </c>
      <c r="I67" s="70">
        <v>10</v>
      </c>
      <c r="J67" s="70">
        <v>6</v>
      </c>
      <c r="K67" s="70">
        <v>4</v>
      </c>
      <c r="L67" s="70">
        <v>1</v>
      </c>
      <c r="M67" s="70">
        <v>5</v>
      </c>
      <c r="N67" s="70">
        <v>81.578948974609375</v>
      </c>
      <c r="O67" s="70">
        <v>8.7719297409057617</v>
      </c>
      <c r="P67" s="70">
        <v>5.263157844543457</v>
      </c>
      <c r="Q67" s="70">
        <v>3.5087718963623047</v>
      </c>
      <c r="R67" s="70">
        <v>0.87719297409057617</v>
      </c>
      <c r="S67" s="70">
        <v>11</v>
      </c>
      <c r="T67" s="70">
        <v>25</v>
      </c>
      <c r="U67" s="70">
        <v>45</v>
      </c>
      <c r="V67" s="70">
        <v>30</v>
      </c>
      <c r="W67" s="70">
        <v>8</v>
      </c>
      <c r="X67" s="70">
        <v>9.2436971664428711</v>
      </c>
      <c r="Y67" s="70">
        <v>21.008403778076172</v>
      </c>
      <c r="Z67" s="70">
        <v>37.81512451171875</v>
      </c>
      <c r="AA67" s="70">
        <v>25.210084915161133</v>
      </c>
      <c r="AB67" s="70">
        <v>6.722689151763916</v>
      </c>
      <c r="AC67" s="70">
        <v>9</v>
      </c>
      <c r="AD67" s="70"/>
      <c r="AE67" s="70">
        <v>65</v>
      </c>
      <c r="AF67" s="70">
        <v>45</v>
      </c>
      <c r="AG67" s="70">
        <v>7.5630249977111816</v>
      </c>
      <c r="AH67" s="70"/>
      <c r="AI67" s="70">
        <v>54.621849060058594</v>
      </c>
      <c r="AJ67" s="70">
        <v>37.81512451171875</v>
      </c>
      <c r="AK67" s="70">
        <v>15</v>
      </c>
      <c r="AL67" s="70">
        <v>6</v>
      </c>
      <c r="AM67" s="70">
        <v>14</v>
      </c>
      <c r="AN67" s="70">
        <v>9</v>
      </c>
      <c r="AO67" s="70">
        <v>67</v>
      </c>
      <c r="AP67" s="70">
        <v>8</v>
      </c>
      <c r="AQ67" s="70">
        <v>13.513513565063477</v>
      </c>
      <c r="AR67" s="70">
        <v>5.4054055213928223</v>
      </c>
      <c r="AS67" s="70">
        <v>12.612612724304199</v>
      </c>
      <c r="AT67" s="70">
        <v>8.1081085205078125</v>
      </c>
      <c r="AU67" s="70">
        <v>60.360359191894531</v>
      </c>
      <c r="AV67" s="70">
        <v>26</v>
      </c>
      <c r="AW67" s="70">
        <v>32</v>
      </c>
      <c r="AX67" s="70">
        <v>19</v>
      </c>
      <c r="AY67" s="70">
        <v>26</v>
      </c>
      <c r="AZ67" s="70">
        <v>10</v>
      </c>
      <c r="BA67" s="70">
        <v>6</v>
      </c>
      <c r="BB67" s="70">
        <v>23.00885009765625</v>
      </c>
      <c r="BC67" s="70">
        <v>28.318584442138672</v>
      </c>
      <c r="BD67" s="70">
        <v>16.814159393310547</v>
      </c>
      <c r="BE67" s="70">
        <v>23.00885009765625</v>
      </c>
      <c r="BF67" s="70">
        <v>8.8495578765869141</v>
      </c>
    </row>
    <row r="68" spans="1:58" x14ac:dyDescent="0.25">
      <c r="A68" s="71" t="s">
        <v>213</v>
      </c>
      <c r="B68" s="71" t="s">
        <v>214</v>
      </c>
      <c r="C68" s="72">
        <v>44</v>
      </c>
      <c r="D68" s="72">
        <v>3</v>
      </c>
      <c r="E68" s="72">
        <v>52</v>
      </c>
      <c r="F68" s="72">
        <v>93.617019653320313</v>
      </c>
      <c r="G68" s="72">
        <v>6.3829789161682129</v>
      </c>
      <c r="H68" s="72">
        <v>83</v>
      </c>
      <c r="I68" s="72">
        <v>5</v>
      </c>
      <c r="J68" s="72">
        <v>4</v>
      </c>
      <c r="K68" s="72">
        <v>2</v>
      </c>
      <c r="L68" s="72">
        <v>1</v>
      </c>
      <c r="M68" s="72">
        <v>4</v>
      </c>
      <c r="N68" s="72">
        <v>87.368423461914063</v>
      </c>
      <c r="O68" s="72">
        <v>5.263157844543457</v>
      </c>
      <c r="P68" s="72">
        <v>4.2105264663696289</v>
      </c>
      <c r="Q68" s="72">
        <v>2.1052632331848145</v>
      </c>
      <c r="R68" s="72">
        <v>1.0526316165924072</v>
      </c>
      <c r="S68" s="72">
        <v>22</v>
      </c>
      <c r="T68" s="72">
        <v>33</v>
      </c>
      <c r="U68" s="72">
        <v>17</v>
      </c>
      <c r="V68" s="72">
        <v>20</v>
      </c>
      <c r="W68" s="72">
        <v>7</v>
      </c>
      <c r="X68" s="72">
        <v>22.222221374511719</v>
      </c>
      <c r="Y68" s="72">
        <v>33.333332061767578</v>
      </c>
      <c r="Z68" s="72">
        <v>17.171716690063477</v>
      </c>
      <c r="AA68" s="72">
        <v>20.202020645141602</v>
      </c>
      <c r="AB68" s="72">
        <v>7.070706844329834</v>
      </c>
      <c r="AC68" s="72">
        <v>14</v>
      </c>
      <c r="AD68" s="72">
        <v>1</v>
      </c>
      <c r="AE68" s="72">
        <v>44</v>
      </c>
      <c r="AF68" s="72">
        <v>40</v>
      </c>
      <c r="AG68" s="72">
        <v>14.141413688659668</v>
      </c>
      <c r="AH68" s="72">
        <v>1.0101009607315063</v>
      </c>
      <c r="AI68" s="72">
        <v>44.444442749023438</v>
      </c>
      <c r="AJ68" s="72">
        <v>40.404041290283203</v>
      </c>
      <c r="AK68" s="72">
        <v>7</v>
      </c>
      <c r="AL68" s="72">
        <v>3</v>
      </c>
      <c r="AM68" s="72">
        <v>5</v>
      </c>
      <c r="AN68" s="72">
        <v>10</v>
      </c>
      <c r="AO68" s="72">
        <v>62</v>
      </c>
      <c r="AP68" s="72">
        <v>12</v>
      </c>
      <c r="AQ68" s="72">
        <v>8.0459766387939453</v>
      </c>
      <c r="AR68" s="72">
        <v>3.4482758045196533</v>
      </c>
      <c r="AS68" s="72">
        <v>5.747126579284668</v>
      </c>
      <c r="AT68" s="72">
        <v>11.494253158569336</v>
      </c>
      <c r="AU68" s="72">
        <v>71.264366149902344</v>
      </c>
      <c r="AV68" s="72">
        <v>15</v>
      </c>
      <c r="AW68" s="72">
        <v>23</v>
      </c>
      <c r="AX68" s="72">
        <v>17</v>
      </c>
      <c r="AY68" s="72">
        <v>17</v>
      </c>
      <c r="AZ68" s="72">
        <v>17</v>
      </c>
      <c r="BA68" s="72">
        <v>10</v>
      </c>
      <c r="BB68" s="72">
        <v>16.853933334350586</v>
      </c>
      <c r="BC68" s="72">
        <v>25.842697143554688</v>
      </c>
      <c r="BD68" s="72">
        <v>19.101123809814453</v>
      </c>
      <c r="BE68" s="72">
        <v>19.101123809814453</v>
      </c>
      <c r="BF68" s="72">
        <v>19.101123809814453</v>
      </c>
    </row>
    <row r="69" spans="1:58" x14ac:dyDescent="0.25">
      <c r="A69" s="69" t="s">
        <v>215</v>
      </c>
      <c r="B69" s="69" t="s">
        <v>216</v>
      </c>
      <c r="C69" s="70">
        <v>151</v>
      </c>
      <c r="D69" s="70">
        <v>22</v>
      </c>
      <c r="E69" s="70">
        <v>204</v>
      </c>
      <c r="F69" s="70">
        <v>87.283233642578125</v>
      </c>
      <c r="G69" s="70">
        <v>12.716762542724609</v>
      </c>
      <c r="H69" s="70">
        <v>352</v>
      </c>
      <c r="I69" s="70">
        <v>2</v>
      </c>
      <c r="J69" s="70">
        <v>7</v>
      </c>
      <c r="K69" s="70">
        <v>4</v>
      </c>
      <c r="L69" s="70">
        <v>5</v>
      </c>
      <c r="M69" s="70">
        <v>7</v>
      </c>
      <c r="N69" s="70">
        <v>95.1351318359375</v>
      </c>
      <c r="O69" s="70">
        <v>0.54054051637649536</v>
      </c>
      <c r="P69" s="70">
        <v>1.8918918371200562</v>
      </c>
      <c r="Q69" s="70">
        <v>1.0810810327529907</v>
      </c>
      <c r="R69" s="70">
        <v>1.3513513803482056</v>
      </c>
      <c r="S69" s="70">
        <v>52</v>
      </c>
      <c r="T69" s="70">
        <v>77</v>
      </c>
      <c r="U69" s="70">
        <v>126</v>
      </c>
      <c r="V69" s="70">
        <v>73</v>
      </c>
      <c r="W69" s="70">
        <v>49</v>
      </c>
      <c r="X69" s="70">
        <v>13.793103218078613</v>
      </c>
      <c r="Y69" s="70">
        <v>20.424402236938477</v>
      </c>
      <c r="Z69" s="70">
        <v>33.421749114990234</v>
      </c>
      <c r="AA69" s="70">
        <v>19.363395690917969</v>
      </c>
      <c r="AB69" s="70">
        <v>12.997347831726074</v>
      </c>
      <c r="AC69" s="70">
        <v>20</v>
      </c>
      <c r="AD69" s="70">
        <v>7</v>
      </c>
      <c r="AE69" s="70">
        <v>209</v>
      </c>
      <c r="AF69" s="70">
        <v>141</v>
      </c>
      <c r="AG69" s="70">
        <v>5.3050398826599121</v>
      </c>
      <c r="AH69" s="70">
        <v>1.8567639589309692</v>
      </c>
      <c r="AI69" s="70">
        <v>55.437664031982422</v>
      </c>
      <c r="AJ69" s="70">
        <v>37.400531768798828</v>
      </c>
      <c r="AK69" s="70">
        <v>102</v>
      </c>
      <c r="AL69" s="70">
        <v>36</v>
      </c>
      <c r="AM69" s="70">
        <v>32</v>
      </c>
      <c r="AN69" s="70">
        <v>32</v>
      </c>
      <c r="AO69" s="70">
        <v>158</v>
      </c>
      <c r="AP69" s="70">
        <v>17</v>
      </c>
      <c r="AQ69" s="70">
        <v>28.333333969116211</v>
      </c>
      <c r="AR69" s="70">
        <v>10</v>
      </c>
      <c r="AS69" s="70">
        <v>8.8888893127441406</v>
      </c>
      <c r="AT69" s="70">
        <v>8.8888893127441406</v>
      </c>
      <c r="AU69" s="70">
        <v>43.888889312744141</v>
      </c>
      <c r="AV69" s="70">
        <v>82</v>
      </c>
      <c r="AW69" s="70">
        <v>103</v>
      </c>
      <c r="AX69" s="70">
        <v>68</v>
      </c>
      <c r="AY69" s="70">
        <v>62</v>
      </c>
      <c r="AZ69" s="70">
        <v>17</v>
      </c>
      <c r="BA69" s="70">
        <v>45</v>
      </c>
      <c r="BB69" s="70">
        <v>24.698795318603516</v>
      </c>
      <c r="BC69" s="70">
        <v>31.02409553527832</v>
      </c>
      <c r="BD69" s="70">
        <v>20.481927871704102</v>
      </c>
      <c r="BE69" s="70">
        <v>18.674697875976563</v>
      </c>
      <c r="BF69" s="70">
        <v>5.1204819679260254</v>
      </c>
    </row>
    <row r="70" spans="1:58" x14ac:dyDescent="0.25">
      <c r="A70" s="71" t="s">
        <v>217</v>
      </c>
      <c r="B70" s="71" t="s">
        <v>218</v>
      </c>
      <c r="C70" s="72">
        <v>698</v>
      </c>
      <c r="D70" s="72">
        <v>43</v>
      </c>
      <c r="E70" s="72">
        <v>51</v>
      </c>
      <c r="F70" s="72">
        <v>94.197029113769531</v>
      </c>
      <c r="G70" s="72">
        <v>5.8029689788818359</v>
      </c>
      <c r="H70" s="72">
        <v>683</v>
      </c>
      <c r="I70" s="72">
        <v>6</v>
      </c>
      <c r="J70" s="72">
        <v>18</v>
      </c>
      <c r="K70" s="72">
        <v>66</v>
      </c>
      <c r="L70" s="72">
        <v>7</v>
      </c>
      <c r="M70" s="72">
        <v>12</v>
      </c>
      <c r="N70" s="72">
        <v>87.564102172851563</v>
      </c>
      <c r="O70" s="72">
        <v>0.76923078298568726</v>
      </c>
      <c r="P70" s="72">
        <v>2.307692289352417</v>
      </c>
      <c r="Q70" s="72">
        <v>8.4615383148193359</v>
      </c>
      <c r="R70" s="72">
        <v>0.89743590354919434</v>
      </c>
      <c r="S70" s="72">
        <v>406</v>
      </c>
      <c r="T70" s="72">
        <v>166</v>
      </c>
      <c r="U70" s="72">
        <v>93</v>
      </c>
      <c r="V70" s="72">
        <v>78</v>
      </c>
      <c r="W70" s="72">
        <v>49</v>
      </c>
      <c r="X70" s="72">
        <v>51.262626647949219</v>
      </c>
      <c r="Y70" s="72">
        <v>20.959596633911133</v>
      </c>
      <c r="Z70" s="72">
        <v>11.742424011230469</v>
      </c>
      <c r="AA70" s="72">
        <v>9.848484992980957</v>
      </c>
      <c r="AB70" s="72">
        <v>6.1868686676025391</v>
      </c>
      <c r="AC70" s="72">
        <v>54</v>
      </c>
      <c r="AD70" s="72">
        <v>10</v>
      </c>
      <c r="AE70" s="72">
        <v>370</v>
      </c>
      <c r="AF70" s="72">
        <v>358</v>
      </c>
      <c r="AG70" s="72">
        <v>6.8181819915771484</v>
      </c>
      <c r="AH70" s="72">
        <v>1.2626262903213501</v>
      </c>
      <c r="AI70" s="72">
        <v>46.717170715332031</v>
      </c>
      <c r="AJ70" s="72">
        <v>45.202018737792969</v>
      </c>
      <c r="AK70" s="72">
        <v>192</v>
      </c>
      <c r="AL70" s="72">
        <v>55</v>
      </c>
      <c r="AM70" s="72">
        <v>98</v>
      </c>
      <c r="AN70" s="72">
        <v>58</v>
      </c>
      <c r="AO70" s="72">
        <v>351</v>
      </c>
      <c r="AP70" s="72">
        <v>38</v>
      </c>
      <c r="AQ70" s="72">
        <v>25.464191436767578</v>
      </c>
      <c r="AR70" s="72">
        <v>7.2944297790527344</v>
      </c>
      <c r="AS70" s="72">
        <v>12.997347831726074</v>
      </c>
      <c r="AT70" s="72">
        <v>7.6923074722290039</v>
      </c>
      <c r="AU70" s="72">
        <v>46.551723480224609</v>
      </c>
      <c r="AV70" s="72">
        <v>100</v>
      </c>
      <c r="AW70" s="72">
        <v>204</v>
      </c>
      <c r="AX70" s="72">
        <v>175</v>
      </c>
      <c r="AY70" s="72">
        <v>190</v>
      </c>
      <c r="AZ70" s="72">
        <v>88</v>
      </c>
      <c r="BA70" s="72">
        <v>35</v>
      </c>
      <c r="BB70" s="72">
        <v>13.210040092468262</v>
      </c>
      <c r="BC70" s="72">
        <v>26.948480606079102</v>
      </c>
      <c r="BD70" s="72">
        <v>23.117568969726563</v>
      </c>
      <c r="BE70" s="72">
        <v>25.099075317382813</v>
      </c>
      <c r="BF70" s="72">
        <v>11.624835014343262</v>
      </c>
    </row>
    <row r="71" spans="1:58" x14ac:dyDescent="0.25">
      <c r="A71" s="69" t="s">
        <v>219</v>
      </c>
      <c r="B71" s="69" t="s">
        <v>220</v>
      </c>
      <c r="C71" s="70">
        <v>64</v>
      </c>
      <c r="D71" s="70">
        <v>9</v>
      </c>
      <c r="E71" s="70">
        <v>151</v>
      </c>
      <c r="F71" s="70">
        <v>87.671234130859375</v>
      </c>
      <c r="G71" s="70">
        <v>12.328766822814941</v>
      </c>
      <c r="H71" s="70">
        <v>173</v>
      </c>
      <c r="I71" s="70">
        <v>4</v>
      </c>
      <c r="J71" s="70">
        <v>10</v>
      </c>
      <c r="K71" s="70">
        <v>23</v>
      </c>
      <c r="L71" s="70">
        <v>6</v>
      </c>
      <c r="M71" s="70">
        <v>8</v>
      </c>
      <c r="N71" s="70">
        <v>80.09259033203125</v>
      </c>
      <c r="O71" s="70">
        <v>1.8518518209457397</v>
      </c>
      <c r="P71" s="70">
        <v>4.6296296119689941</v>
      </c>
      <c r="Q71" s="70">
        <v>10.648148536682129</v>
      </c>
      <c r="R71" s="70">
        <v>2.7777776718139648</v>
      </c>
      <c r="S71" s="70">
        <v>117</v>
      </c>
      <c r="T71" s="70">
        <v>41</v>
      </c>
      <c r="U71" s="70">
        <v>22</v>
      </c>
      <c r="V71" s="70">
        <v>29</v>
      </c>
      <c r="W71" s="70">
        <v>15</v>
      </c>
      <c r="X71" s="70">
        <v>52.232143402099609</v>
      </c>
      <c r="Y71" s="70">
        <v>18.303571701049805</v>
      </c>
      <c r="Z71" s="70">
        <v>9.8214282989501953</v>
      </c>
      <c r="AA71" s="70">
        <v>12.946428298950195</v>
      </c>
      <c r="AB71" s="70">
        <v>6.6964287757873535</v>
      </c>
      <c r="AC71" s="70">
        <v>21</v>
      </c>
      <c r="AD71" s="70">
        <v>4</v>
      </c>
      <c r="AE71" s="70">
        <v>109</v>
      </c>
      <c r="AF71" s="70">
        <v>90</v>
      </c>
      <c r="AG71" s="70">
        <v>9.375</v>
      </c>
      <c r="AH71" s="70">
        <v>1.7857142686843872</v>
      </c>
      <c r="AI71" s="70">
        <v>48.660713195800781</v>
      </c>
      <c r="AJ71" s="70">
        <v>40.178569793701172</v>
      </c>
      <c r="AK71" s="70">
        <v>42</v>
      </c>
      <c r="AL71" s="70">
        <v>11</v>
      </c>
      <c r="AM71" s="70">
        <v>22</v>
      </c>
      <c r="AN71" s="70">
        <v>20</v>
      </c>
      <c r="AO71" s="70">
        <v>76</v>
      </c>
      <c r="AP71" s="70">
        <v>53</v>
      </c>
      <c r="AQ71" s="70">
        <v>24.561403274536133</v>
      </c>
      <c r="AR71" s="70">
        <v>6.4327483177185059</v>
      </c>
      <c r="AS71" s="70">
        <v>12.865496635437012</v>
      </c>
      <c r="AT71" s="70">
        <v>11.695906639099121</v>
      </c>
      <c r="AU71" s="70">
        <v>44.444442749023438</v>
      </c>
      <c r="AV71" s="70">
        <v>27</v>
      </c>
      <c r="AW71" s="70">
        <v>57</v>
      </c>
      <c r="AX71" s="70">
        <v>42</v>
      </c>
      <c r="AY71" s="70">
        <v>52</v>
      </c>
      <c r="AZ71" s="70">
        <v>17</v>
      </c>
      <c r="BA71" s="70">
        <v>29</v>
      </c>
      <c r="BB71" s="70">
        <v>13.84615421295166</v>
      </c>
      <c r="BC71" s="70">
        <v>29.230770111083984</v>
      </c>
      <c r="BD71" s="70">
        <v>21.538461685180664</v>
      </c>
      <c r="BE71" s="70">
        <v>26.666666030883789</v>
      </c>
      <c r="BF71" s="70">
        <v>8.7179489135742188</v>
      </c>
    </row>
    <row r="72" spans="1:58" x14ac:dyDescent="0.25">
      <c r="A72" s="71" t="s">
        <v>221</v>
      </c>
      <c r="B72" s="71" t="s">
        <v>222</v>
      </c>
      <c r="C72" s="72">
        <v>135</v>
      </c>
      <c r="D72" s="72">
        <v>8</v>
      </c>
      <c r="E72" s="72">
        <v>47</v>
      </c>
      <c r="F72" s="72">
        <v>94.405593872070313</v>
      </c>
      <c r="G72" s="72">
        <v>5.5944056510925293</v>
      </c>
      <c r="H72" s="72">
        <v>164</v>
      </c>
      <c r="I72" s="72">
        <v>3</v>
      </c>
      <c r="J72" s="72">
        <v>5</v>
      </c>
      <c r="K72" s="72">
        <v>17</v>
      </c>
      <c r="L72" s="72"/>
      <c r="M72" s="72">
        <v>1</v>
      </c>
      <c r="N72" s="72">
        <v>86.772483825683594</v>
      </c>
      <c r="O72" s="72">
        <v>1.5873016119003296</v>
      </c>
      <c r="P72" s="72">
        <v>2.6455025672912598</v>
      </c>
      <c r="Q72" s="72">
        <v>8.9947090148925781</v>
      </c>
      <c r="R72" s="72"/>
      <c r="S72" s="72">
        <v>84</v>
      </c>
      <c r="T72" s="72">
        <v>34</v>
      </c>
      <c r="U72" s="72">
        <v>36</v>
      </c>
      <c r="V72" s="72">
        <v>29</v>
      </c>
      <c r="W72" s="72">
        <v>7</v>
      </c>
      <c r="X72" s="72">
        <v>44.210525512695313</v>
      </c>
      <c r="Y72" s="72">
        <v>17.894737243652344</v>
      </c>
      <c r="Z72" s="72">
        <v>18.947368621826172</v>
      </c>
      <c r="AA72" s="72">
        <v>15.263157844543457</v>
      </c>
      <c r="AB72" s="72">
        <v>3.6842105388641357</v>
      </c>
      <c r="AC72" s="72">
        <v>25</v>
      </c>
      <c r="AD72" s="72">
        <v>4</v>
      </c>
      <c r="AE72" s="72">
        <v>106</v>
      </c>
      <c r="AF72" s="72">
        <v>55</v>
      </c>
      <c r="AG72" s="72">
        <v>13.157895088195801</v>
      </c>
      <c r="AH72" s="72">
        <v>2.1052632331848145</v>
      </c>
      <c r="AI72" s="72">
        <v>55.789474487304688</v>
      </c>
      <c r="AJ72" s="72">
        <v>28.947368621826172</v>
      </c>
      <c r="AK72" s="72">
        <v>31</v>
      </c>
      <c r="AL72" s="72">
        <v>11</v>
      </c>
      <c r="AM72" s="72">
        <v>21</v>
      </c>
      <c r="AN72" s="72">
        <v>24</v>
      </c>
      <c r="AO72" s="72">
        <v>73</v>
      </c>
      <c r="AP72" s="72">
        <v>30</v>
      </c>
      <c r="AQ72" s="72">
        <v>19.375</v>
      </c>
      <c r="AR72" s="72">
        <v>6.875</v>
      </c>
      <c r="AS72" s="72">
        <v>13.125</v>
      </c>
      <c r="AT72" s="72">
        <v>15</v>
      </c>
      <c r="AU72" s="72">
        <v>45.625</v>
      </c>
      <c r="AV72" s="72">
        <v>37</v>
      </c>
      <c r="AW72" s="72">
        <v>40</v>
      </c>
      <c r="AX72" s="72">
        <v>37</v>
      </c>
      <c r="AY72" s="72">
        <v>50</v>
      </c>
      <c r="AZ72" s="72">
        <v>8</v>
      </c>
      <c r="BA72" s="72">
        <v>18</v>
      </c>
      <c r="BB72" s="72">
        <v>21.511627197265625</v>
      </c>
      <c r="BC72" s="72">
        <v>23.255813598632813</v>
      </c>
      <c r="BD72" s="72">
        <v>21.511627197265625</v>
      </c>
      <c r="BE72" s="72">
        <v>29.069766998291016</v>
      </c>
      <c r="BF72" s="72">
        <v>4.6511626243591309</v>
      </c>
    </row>
    <row r="73" spans="1:58" x14ac:dyDescent="0.25">
      <c r="A73" s="69" t="s">
        <v>223</v>
      </c>
      <c r="B73" s="69" t="s">
        <v>224</v>
      </c>
      <c r="C73" s="70">
        <v>144</v>
      </c>
      <c r="D73" s="70">
        <v>7</v>
      </c>
      <c r="E73" s="70">
        <v>28</v>
      </c>
      <c r="F73" s="70">
        <v>95.364234924316406</v>
      </c>
      <c r="G73" s="70">
        <v>4.6357617378234863</v>
      </c>
      <c r="H73" s="70">
        <v>172</v>
      </c>
      <c r="I73" s="70"/>
      <c r="J73" s="70">
        <v>3</v>
      </c>
      <c r="K73" s="70">
        <v>1</v>
      </c>
      <c r="L73" s="70">
        <v>2</v>
      </c>
      <c r="M73" s="70">
        <v>1</v>
      </c>
      <c r="N73" s="70">
        <v>96.62921142578125</v>
      </c>
      <c r="O73" s="70"/>
      <c r="P73" s="70">
        <v>1.685393214225769</v>
      </c>
      <c r="Q73" s="70">
        <v>0.56179773807525635</v>
      </c>
      <c r="R73" s="70">
        <v>1.1235954761505127</v>
      </c>
      <c r="S73" s="70">
        <v>26</v>
      </c>
      <c r="T73" s="70">
        <v>30</v>
      </c>
      <c r="U73" s="70">
        <v>42</v>
      </c>
      <c r="V73" s="70">
        <v>57</v>
      </c>
      <c r="W73" s="70">
        <v>24</v>
      </c>
      <c r="X73" s="70">
        <v>14.525139808654785</v>
      </c>
      <c r="Y73" s="70">
        <v>16.759777069091797</v>
      </c>
      <c r="Z73" s="70">
        <v>23.463687896728516</v>
      </c>
      <c r="AA73" s="70">
        <v>31.843574523925781</v>
      </c>
      <c r="AB73" s="70">
        <v>13.407821655273438</v>
      </c>
      <c r="AC73" s="70">
        <v>12</v>
      </c>
      <c r="AD73" s="70">
        <v>1</v>
      </c>
      <c r="AE73" s="70">
        <v>93</v>
      </c>
      <c r="AF73" s="70">
        <v>73</v>
      </c>
      <c r="AG73" s="70">
        <v>6.7039108276367188</v>
      </c>
      <c r="AH73" s="70">
        <v>0.55865919589996338</v>
      </c>
      <c r="AI73" s="70">
        <v>51.955307006835938</v>
      </c>
      <c r="AJ73" s="70">
        <v>40.782123565673828</v>
      </c>
      <c r="AK73" s="70">
        <v>15</v>
      </c>
      <c r="AL73" s="70">
        <v>12</v>
      </c>
      <c r="AM73" s="70">
        <v>27</v>
      </c>
      <c r="AN73" s="70">
        <v>25</v>
      </c>
      <c r="AO73" s="70">
        <v>77</v>
      </c>
      <c r="AP73" s="70">
        <v>23</v>
      </c>
      <c r="AQ73" s="70">
        <v>9.6153850555419922</v>
      </c>
      <c r="AR73" s="70">
        <v>7.6923074722290039</v>
      </c>
      <c r="AS73" s="70">
        <v>17.30769157409668</v>
      </c>
      <c r="AT73" s="70">
        <v>16.025640487670898</v>
      </c>
      <c r="AU73" s="70">
        <v>49.358974456787109</v>
      </c>
      <c r="AV73" s="70">
        <v>30</v>
      </c>
      <c r="AW73" s="70">
        <v>42</v>
      </c>
      <c r="AX73" s="70">
        <v>33</v>
      </c>
      <c r="AY73" s="70">
        <v>47</v>
      </c>
      <c r="AZ73" s="70">
        <v>7</v>
      </c>
      <c r="BA73" s="70">
        <v>20</v>
      </c>
      <c r="BB73" s="70">
        <v>18.867923736572266</v>
      </c>
      <c r="BC73" s="70">
        <v>26.415094375610352</v>
      </c>
      <c r="BD73" s="70">
        <v>20.754716873168945</v>
      </c>
      <c r="BE73" s="70">
        <v>29.559747695922852</v>
      </c>
      <c r="BF73" s="70">
        <v>4.4025158882141113</v>
      </c>
    </row>
    <row r="74" spans="1:58" x14ac:dyDescent="0.25">
      <c r="A74" s="71" t="s">
        <v>225</v>
      </c>
      <c r="B74" s="71" t="s">
        <v>226</v>
      </c>
      <c r="C74" s="72">
        <v>170</v>
      </c>
      <c r="D74" s="72">
        <v>19</v>
      </c>
      <c r="E74" s="72">
        <v>89</v>
      </c>
      <c r="F74" s="72">
        <v>89.947090148925781</v>
      </c>
      <c r="G74" s="72">
        <v>10.052909851074219</v>
      </c>
      <c r="H74" s="72">
        <v>225</v>
      </c>
      <c r="I74" s="72">
        <v>12</v>
      </c>
      <c r="J74" s="72">
        <v>9</v>
      </c>
      <c r="K74" s="72">
        <v>2</v>
      </c>
      <c r="L74" s="72">
        <v>25</v>
      </c>
      <c r="M74" s="72">
        <v>5</v>
      </c>
      <c r="N74" s="72">
        <v>82.417579650878906</v>
      </c>
      <c r="O74" s="72">
        <v>4.3956046104431152</v>
      </c>
      <c r="P74" s="72">
        <v>3.2967033386230469</v>
      </c>
      <c r="Q74" s="72">
        <v>0.73260074853897095</v>
      </c>
      <c r="R74" s="72">
        <v>9.1575088500976563</v>
      </c>
      <c r="S74" s="72">
        <v>4</v>
      </c>
      <c r="T74" s="72">
        <v>45</v>
      </c>
      <c r="U74" s="72">
        <v>34</v>
      </c>
      <c r="V74" s="72">
        <v>79</v>
      </c>
      <c r="W74" s="72">
        <v>116</v>
      </c>
      <c r="X74" s="72">
        <v>1.4388489723205566</v>
      </c>
      <c r="Y74" s="72">
        <v>16.187049865722656</v>
      </c>
      <c r="Z74" s="72">
        <v>12.230216026306152</v>
      </c>
      <c r="AA74" s="72">
        <v>28.417266845703125</v>
      </c>
      <c r="AB74" s="72">
        <v>41.726619720458984</v>
      </c>
      <c r="AC74" s="72">
        <v>13</v>
      </c>
      <c r="AD74" s="72">
        <v>8</v>
      </c>
      <c r="AE74" s="72">
        <v>151</v>
      </c>
      <c r="AF74" s="72">
        <v>106</v>
      </c>
      <c r="AG74" s="72">
        <v>4.6762590408325195</v>
      </c>
      <c r="AH74" s="72">
        <v>2.8776979446411133</v>
      </c>
      <c r="AI74" s="72">
        <v>54.316547393798828</v>
      </c>
      <c r="AJ74" s="72">
        <v>38.129497528076172</v>
      </c>
      <c r="AK74" s="72">
        <v>53</v>
      </c>
      <c r="AL74" s="72">
        <v>23</v>
      </c>
      <c r="AM74" s="72">
        <v>37</v>
      </c>
      <c r="AN74" s="72">
        <v>37</v>
      </c>
      <c r="AO74" s="72">
        <v>111</v>
      </c>
      <c r="AP74" s="72">
        <v>17</v>
      </c>
      <c r="AQ74" s="72">
        <v>20.306512832641602</v>
      </c>
      <c r="AR74" s="72">
        <v>8.812260627746582</v>
      </c>
      <c r="AS74" s="72">
        <v>14.176244735717773</v>
      </c>
      <c r="AT74" s="72">
        <v>14.176244735717773</v>
      </c>
      <c r="AU74" s="72">
        <v>42.528736114501953</v>
      </c>
      <c r="AV74" s="72">
        <v>83</v>
      </c>
      <c r="AW74" s="72">
        <v>106</v>
      </c>
      <c r="AX74" s="72">
        <v>39</v>
      </c>
      <c r="AY74" s="72">
        <v>34</v>
      </c>
      <c r="AZ74" s="72">
        <v>3</v>
      </c>
      <c r="BA74" s="72">
        <v>13</v>
      </c>
      <c r="BB74" s="72">
        <v>31.320755004882813</v>
      </c>
      <c r="BC74" s="72">
        <v>40</v>
      </c>
      <c r="BD74" s="72">
        <v>14.716980934143066</v>
      </c>
      <c r="BE74" s="72">
        <v>12.830188751220703</v>
      </c>
      <c r="BF74" s="72">
        <v>1.1320754289627075</v>
      </c>
    </row>
    <row r="75" spans="1:58" x14ac:dyDescent="0.25">
      <c r="A75" s="69" t="s">
        <v>227</v>
      </c>
      <c r="B75" s="69" t="s">
        <v>228</v>
      </c>
      <c r="C75" s="70">
        <v>82</v>
      </c>
      <c r="D75" s="70">
        <v>10</v>
      </c>
      <c r="E75" s="70">
        <v>56</v>
      </c>
      <c r="F75" s="70">
        <v>89.13043212890625</v>
      </c>
      <c r="G75" s="70">
        <v>10.869565010070801</v>
      </c>
      <c r="H75" s="70">
        <v>137</v>
      </c>
      <c r="I75" s="70">
        <v>1</v>
      </c>
      <c r="J75" s="70">
        <v>1</v>
      </c>
      <c r="K75" s="70">
        <v>1</v>
      </c>
      <c r="L75" s="70">
        <v>3</v>
      </c>
      <c r="M75" s="70">
        <v>5</v>
      </c>
      <c r="N75" s="70">
        <v>95.80419921875</v>
      </c>
      <c r="O75" s="70">
        <v>0.69930070638656616</v>
      </c>
      <c r="P75" s="70">
        <v>0.69930070638656616</v>
      </c>
      <c r="Q75" s="70">
        <v>0.69930070638656616</v>
      </c>
      <c r="R75" s="70">
        <v>2.0979020595550537</v>
      </c>
      <c r="S75" s="70">
        <v>18</v>
      </c>
      <c r="T75" s="70">
        <v>36</v>
      </c>
      <c r="U75" s="70">
        <v>39</v>
      </c>
      <c r="V75" s="70">
        <v>31</v>
      </c>
      <c r="W75" s="70">
        <v>24</v>
      </c>
      <c r="X75" s="70">
        <v>12.162161827087402</v>
      </c>
      <c r="Y75" s="70">
        <v>24.324323654174805</v>
      </c>
      <c r="Z75" s="70">
        <v>26.351350784301758</v>
      </c>
      <c r="AA75" s="70">
        <v>20.945945739746094</v>
      </c>
      <c r="AB75" s="70">
        <v>16.216217041015625</v>
      </c>
      <c r="AC75" s="70">
        <v>15</v>
      </c>
      <c r="AD75" s="70">
        <v>2</v>
      </c>
      <c r="AE75" s="70">
        <v>121</v>
      </c>
      <c r="AF75" s="70">
        <v>10</v>
      </c>
      <c r="AG75" s="70">
        <v>10.135134696960449</v>
      </c>
      <c r="AH75" s="70">
        <v>1.3513513803482056</v>
      </c>
      <c r="AI75" s="70">
        <v>81.756759643554688</v>
      </c>
      <c r="AJ75" s="70">
        <v>6.7567567825317383</v>
      </c>
      <c r="AK75" s="70">
        <v>23</v>
      </c>
      <c r="AL75" s="70">
        <v>5</v>
      </c>
      <c r="AM75" s="70">
        <v>18</v>
      </c>
      <c r="AN75" s="70">
        <v>16</v>
      </c>
      <c r="AO75" s="70">
        <v>58</v>
      </c>
      <c r="AP75" s="70">
        <v>28</v>
      </c>
      <c r="AQ75" s="70">
        <v>19.166666030883789</v>
      </c>
      <c r="AR75" s="70">
        <v>4.1666665077209473</v>
      </c>
      <c r="AS75" s="70">
        <v>15</v>
      </c>
      <c r="AT75" s="70">
        <v>13.333333015441895</v>
      </c>
      <c r="AU75" s="70">
        <v>48.333332061767578</v>
      </c>
      <c r="AV75" s="70">
        <v>15</v>
      </c>
      <c r="AW75" s="70">
        <v>48</v>
      </c>
      <c r="AX75" s="70">
        <v>37</v>
      </c>
      <c r="AY75" s="70">
        <v>30</v>
      </c>
      <c r="AZ75" s="70">
        <v>8</v>
      </c>
      <c r="BA75" s="70">
        <v>10</v>
      </c>
      <c r="BB75" s="70">
        <v>10.869565010070801</v>
      </c>
      <c r="BC75" s="70">
        <v>34.782608032226563</v>
      </c>
      <c r="BD75" s="70">
        <v>26.811594009399414</v>
      </c>
      <c r="BE75" s="70">
        <v>21.739130020141602</v>
      </c>
      <c r="BF75" s="70">
        <v>5.7971014976501465</v>
      </c>
    </row>
    <row r="76" spans="1:58" x14ac:dyDescent="0.25">
      <c r="A76" s="71" t="s">
        <v>229</v>
      </c>
      <c r="B76" s="71" t="s">
        <v>230</v>
      </c>
      <c r="C76" s="72">
        <v>23</v>
      </c>
      <c r="D76" s="72">
        <v>2</v>
      </c>
      <c r="E76" s="72">
        <v>154</v>
      </c>
      <c r="F76" s="72">
        <v>92</v>
      </c>
      <c r="G76" s="72">
        <v>8</v>
      </c>
      <c r="H76" s="72">
        <v>165</v>
      </c>
      <c r="I76" s="72">
        <v>2</v>
      </c>
      <c r="J76" s="72">
        <v>3</v>
      </c>
      <c r="K76" s="72">
        <v>1</v>
      </c>
      <c r="L76" s="72"/>
      <c r="M76" s="72">
        <v>8</v>
      </c>
      <c r="N76" s="72">
        <v>96.491226196289063</v>
      </c>
      <c r="O76" s="72">
        <v>1.1695905923843384</v>
      </c>
      <c r="P76" s="72">
        <v>1.7543859481811523</v>
      </c>
      <c r="Q76" s="72">
        <v>0.58479529619216919</v>
      </c>
      <c r="R76" s="72"/>
      <c r="S76" s="72">
        <v>68</v>
      </c>
      <c r="T76" s="72">
        <v>38</v>
      </c>
      <c r="U76" s="72">
        <v>23</v>
      </c>
      <c r="V76" s="72">
        <v>28</v>
      </c>
      <c r="W76" s="72">
        <v>22</v>
      </c>
      <c r="X76" s="72">
        <v>37.988826751708984</v>
      </c>
      <c r="Y76" s="72">
        <v>21.229049682617188</v>
      </c>
      <c r="Z76" s="72">
        <v>12.849162101745605</v>
      </c>
      <c r="AA76" s="72">
        <v>15.642457962036133</v>
      </c>
      <c r="AB76" s="72">
        <v>12.290502548217773</v>
      </c>
      <c r="AC76" s="72">
        <v>24</v>
      </c>
      <c r="AD76" s="72">
        <v>4</v>
      </c>
      <c r="AE76" s="72">
        <v>83</v>
      </c>
      <c r="AF76" s="72">
        <v>68</v>
      </c>
      <c r="AG76" s="72">
        <v>13.407821655273438</v>
      </c>
      <c r="AH76" s="72">
        <v>2.2346367835998535</v>
      </c>
      <c r="AI76" s="72">
        <v>46.36871337890625</v>
      </c>
      <c r="AJ76" s="72">
        <v>37.988826751708984</v>
      </c>
      <c r="AK76" s="72">
        <v>14</v>
      </c>
      <c r="AL76" s="72">
        <v>9</v>
      </c>
      <c r="AM76" s="72">
        <v>24</v>
      </c>
      <c r="AN76" s="72">
        <v>20</v>
      </c>
      <c r="AO76" s="72">
        <v>69</v>
      </c>
      <c r="AP76" s="72">
        <v>43</v>
      </c>
      <c r="AQ76" s="72">
        <v>10.29411792755127</v>
      </c>
      <c r="AR76" s="72">
        <v>6.6176471710205078</v>
      </c>
      <c r="AS76" s="72">
        <v>17.647058486938477</v>
      </c>
      <c r="AT76" s="72">
        <v>14.70588207244873</v>
      </c>
      <c r="AU76" s="72">
        <v>50.735294342041016</v>
      </c>
      <c r="AV76" s="72">
        <v>8</v>
      </c>
      <c r="AW76" s="72">
        <v>47</v>
      </c>
      <c r="AX76" s="72">
        <v>36</v>
      </c>
      <c r="AY76" s="72">
        <v>34</v>
      </c>
      <c r="AZ76" s="72">
        <v>3</v>
      </c>
      <c r="BA76" s="72">
        <v>51</v>
      </c>
      <c r="BB76" s="72">
        <v>6.25</v>
      </c>
      <c r="BC76" s="72">
        <v>36.71875</v>
      </c>
      <c r="BD76" s="72">
        <v>28.125</v>
      </c>
      <c r="BE76" s="72">
        <v>26.5625</v>
      </c>
      <c r="BF76" s="72">
        <v>2.34375</v>
      </c>
    </row>
    <row r="77" spans="1:58" x14ac:dyDescent="0.25">
      <c r="A77" s="69" t="s">
        <v>231</v>
      </c>
      <c r="B77" s="69" t="s">
        <v>232</v>
      </c>
      <c r="C77" s="70">
        <v>60</v>
      </c>
      <c r="D77" s="70">
        <v>1</v>
      </c>
      <c r="E77" s="70">
        <v>171</v>
      </c>
      <c r="F77" s="70">
        <v>98.36065673828125</v>
      </c>
      <c r="G77" s="70">
        <v>1.6393442153930664</v>
      </c>
      <c r="H77" s="70">
        <v>219</v>
      </c>
      <c r="I77" s="70">
        <v>4</v>
      </c>
      <c r="J77" s="70">
        <v>2</v>
      </c>
      <c r="K77" s="70">
        <v>1</v>
      </c>
      <c r="L77" s="70"/>
      <c r="M77" s="70">
        <v>6</v>
      </c>
      <c r="N77" s="70">
        <v>96.902656555175781</v>
      </c>
      <c r="O77" s="70">
        <v>1.769911527633667</v>
      </c>
      <c r="P77" s="70">
        <v>0.8849557638168335</v>
      </c>
      <c r="Q77" s="70">
        <v>0.44247788190841675</v>
      </c>
      <c r="R77" s="70"/>
      <c r="S77" s="70">
        <v>57</v>
      </c>
      <c r="T77" s="70">
        <v>66</v>
      </c>
      <c r="U77" s="70">
        <v>59</v>
      </c>
      <c r="V77" s="70">
        <v>26</v>
      </c>
      <c r="W77" s="70">
        <v>24</v>
      </c>
      <c r="X77" s="70">
        <v>24.568965911865234</v>
      </c>
      <c r="Y77" s="70">
        <v>28.448276519775391</v>
      </c>
      <c r="Z77" s="70">
        <v>25.431034088134766</v>
      </c>
      <c r="AA77" s="70">
        <v>11.206896781921387</v>
      </c>
      <c r="AB77" s="70">
        <v>10.344827651977539</v>
      </c>
      <c r="AC77" s="70">
        <v>34</v>
      </c>
      <c r="AD77" s="70">
        <v>1</v>
      </c>
      <c r="AE77" s="70">
        <v>161</v>
      </c>
      <c r="AF77" s="70">
        <v>36</v>
      </c>
      <c r="AG77" s="70">
        <v>14.655172348022461</v>
      </c>
      <c r="AH77" s="70">
        <v>0.43103447556495667</v>
      </c>
      <c r="AI77" s="70">
        <v>69.396553039550781</v>
      </c>
      <c r="AJ77" s="70">
        <v>15.517241477966309</v>
      </c>
      <c r="AK77" s="70">
        <v>30</v>
      </c>
      <c r="AL77" s="70">
        <v>15</v>
      </c>
      <c r="AM77" s="70">
        <v>17</v>
      </c>
      <c r="AN77" s="70">
        <v>24</v>
      </c>
      <c r="AO77" s="70">
        <v>123</v>
      </c>
      <c r="AP77" s="70">
        <v>23</v>
      </c>
      <c r="AQ77" s="70">
        <v>14.354066848754883</v>
      </c>
      <c r="AR77" s="70">
        <v>7.1770334243774414</v>
      </c>
      <c r="AS77" s="70">
        <v>8.1339712142944336</v>
      </c>
      <c r="AT77" s="70">
        <v>11.483253479003906</v>
      </c>
      <c r="AU77" s="70">
        <v>58.851673126220703</v>
      </c>
      <c r="AV77" s="70">
        <v>22</v>
      </c>
      <c r="AW77" s="70">
        <v>52</v>
      </c>
      <c r="AX77" s="70">
        <v>37</v>
      </c>
      <c r="AY77" s="70">
        <v>44</v>
      </c>
      <c r="AZ77" s="70">
        <v>14</v>
      </c>
      <c r="BA77" s="70">
        <v>63</v>
      </c>
      <c r="BB77" s="70">
        <v>13.017751693725586</v>
      </c>
      <c r="BC77" s="70">
        <v>30.769229888916016</v>
      </c>
      <c r="BD77" s="70">
        <v>21.893491744995117</v>
      </c>
      <c r="BE77" s="70">
        <v>26.035503387451172</v>
      </c>
      <c r="BF77" s="70">
        <v>8.2840232849121094</v>
      </c>
    </row>
    <row r="78" spans="1:58" x14ac:dyDescent="0.25">
      <c r="A78" s="71" t="s">
        <v>233</v>
      </c>
      <c r="B78" s="71" t="s">
        <v>234</v>
      </c>
      <c r="C78" s="72">
        <v>60</v>
      </c>
      <c r="D78" s="72">
        <v>2</v>
      </c>
      <c r="E78" s="72">
        <v>154</v>
      </c>
      <c r="F78" s="72">
        <v>96.774192810058594</v>
      </c>
      <c r="G78" s="72">
        <v>3.2258064746856689</v>
      </c>
      <c r="H78" s="72">
        <v>213</v>
      </c>
      <c r="I78" s="72">
        <v>1</v>
      </c>
      <c r="J78" s="72">
        <v>1</v>
      </c>
      <c r="K78" s="72">
        <v>1</v>
      </c>
      <c r="L78" s="72"/>
      <c r="M78" s="72"/>
      <c r="N78" s="72">
        <v>98.611114501953125</v>
      </c>
      <c r="O78" s="72">
        <v>0.46296295523643494</v>
      </c>
      <c r="P78" s="72">
        <v>0.46296295523643494</v>
      </c>
      <c r="Q78" s="72">
        <v>0.46296295523643494</v>
      </c>
      <c r="R78" s="72"/>
      <c r="S78" s="72">
        <v>44</v>
      </c>
      <c r="T78" s="72">
        <v>54</v>
      </c>
      <c r="U78" s="72">
        <v>57</v>
      </c>
      <c r="V78" s="72">
        <v>29</v>
      </c>
      <c r="W78" s="72">
        <v>32</v>
      </c>
      <c r="X78" s="72">
        <v>20.370370864868164</v>
      </c>
      <c r="Y78" s="72">
        <v>25</v>
      </c>
      <c r="Z78" s="72">
        <v>26.388889312744141</v>
      </c>
      <c r="AA78" s="72">
        <v>13.425926208496094</v>
      </c>
      <c r="AB78" s="72">
        <v>14.814814567565918</v>
      </c>
      <c r="AC78" s="72">
        <v>15</v>
      </c>
      <c r="AD78" s="72">
        <v>3</v>
      </c>
      <c r="AE78" s="72">
        <v>137</v>
      </c>
      <c r="AF78" s="72">
        <v>61</v>
      </c>
      <c r="AG78" s="72">
        <v>6.9444446563720703</v>
      </c>
      <c r="AH78" s="72">
        <v>1.3888888359069824</v>
      </c>
      <c r="AI78" s="72">
        <v>63.425926208496094</v>
      </c>
      <c r="AJ78" s="72">
        <v>28.240739822387695</v>
      </c>
      <c r="AK78" s="72">
        <v>28</v>
      </c>
      <c r="AL78" s="72">
        <v>13</v>
      </c>
      <c r="AM78" s="72">
        <v>25</v>
      </c>
      <c r="AN78" s="72">
        <v>18</v>
      </c>
      <c r="AO78" s="72">
        <v>74</v>
      </c>
      <c r="AP78" s="72">
        <v>58</v>
      </c>
      <c r="AQ78" s="72">
        <v>17.721519470214844</v>
      </c>
      <c r="AR78" s="72">
        <v>8.2278480529785156</v>
      </c>
      <c r="AS78" s="72">
        <v>15.822784423828125</v>
      </c>
      <c r="AT78" s="72">
        <v>11.39240550994873</v>
      </c>
      <c r="AU78" s="72">
        <v>46.835441589355469</v>
      </c>
      <c r="AV78" s="72">
        <v>28</v>
      </c>
      <c r="AW78" s="72">
        <v>18</v>
      </c>
      <c r="AX78" s="72">
        <v>20</v>
      </c>
      <c r="AY78" s="72">
        <v>28</v>
      </c>
      <c r="AZ78" s="72">
        <v>15</v>
      </c>
      <c r="BA78" s="72">
        <v>107</v>
      </c>
      <c r="BB78" s="72">
        <v>25.688074111938477</v>
      </c>
      <c r="BC78" s="72">
        <v>16.513761520385742</v>
      </c>
      <c r="BD78" s="72">
        <v>18.348623275756836</v>
      </c>
      <c r="BE78" s="72">
        <v>25.688074111938477</v>
      </c>
      <c r="BF78" s="72">
        <v>13.761467933654785</v>
      </c>
    </row>
    <row r="79" spans="1:58" x14ac:dyDescent="0.25">
      <c r="A79" s="69" t="s">
        <v>235</v>
      </c>
      <c r="B79" s="69" t="s">
        <v>236</v>
      </c>
      <c r="C79" s="70">
        <v>183</v>
      </c>
      <c r="D79" s="70">
        <v>25</v>
      </c>
      <c r="E79" s="70">
        <v>7</v>
      </c>
      <c r="F79" s="70">
        <v>87.980766296386719</v>
      </c>
      <c r="G79" s="70">
        <v>12.019230842590332</v>
      </c>
      <c r="H79" s="70">
        <v>195</v>
      </c>
      <c r="I79" s="70">
        <v>6</v>
      </c>
      <c r="J79" s="70">
        <v>6</v>
      </c>
      <c r="K79" s="70">
        <v>4</v>
      </c>
      <c r="L79" s="70">
        <v>2</v>
      </c>
      <c r="M79" s="70">
        <v>2</v>
      </c>
      <c r="N79" s="70">
        <v>91.549293518066406</v>
      </c>
      <c r="O79" s="70">
        <v>2.8169014453887939</v>
      </c>
      <c r="P79" s="70">
        <v>2.8169014453887939</v>
      </c>
      <c r="Q79" s="70">
        <v>1.8779342174530029</v>
      </c>
      <c r="R79" s="70">
        <v>0.93896710872650146</v>
      </c>
      <c r="S79" s="70">
        <v>38</v>
      </c>
      <c r="T79" s="70">
        <v>53</v>
      </c>
      <c r="U79" s="70">
        <v>39</v>
      </c>
      <c r="V79" s="70">
        <v>50</v>
      </c>
      <c r="W79" s="70">
        <v>35</v>
      </c>
      <c r="X79" s="70">
        <v>17.674419403076172</v>
      </c>
      <c r="Y79" s="70">
        <v>24.651163101196289</v>
      </c>
      <c r="Z79" s="70">
        <v>18.139533996582031</v>
      </c>
      <c r="AA79" s="70">
        <v>23.255813598632813</v>
      </c>
      <c r="AB79" s="70">
        <v>16.279069900512695</v>
      </c>
      <c r="AC79" s="70">
        <v>31</v>
      </c>
      <c r="AD79" s="70">
        <v>3</v>
      </c>
      <c r="AE79" s="70">
        <v>114</v>
      </c>
      <c r="AF79" s="70">
        <v>67</v>
      </c>
      <c r="AG79" s="70">
        <v>14.418604850769043</v>
      </c>
      <c r="AH79" s="70">
        <v>1.3953487873077393</v>
      </c>
      <c r="AI79" s="70">
        <v>53.02325439453125</v>
      </c>
      <c r="AJ79" s="70">
        <v>31.162790298461914</v>
      </c>
      <c r="AK79" s="70">
        <v>41</v>
      </c>
      <c r="AL79" s="70">
        <v>19</v>
      </c>
      <c r="AM79" s="70">
        <v>20</v>
      </c>
      <c r="AN79" s="70">
        <v>21</v>
      </c>
      <c r="AO79" s="70">
        <v>111</v>
      </c>
      <c r="AP79" s="70">
        <v>3</v>
      </c>
      <c r="AQ79" s="70">
        <v>19.339622497558594</v>
      </c>
      <c r="AR79" s="70">
        <v>8.9622640609741211</v>
      </c>
      <c r="AS79" s="70">
        <v>9.4339618682861328</v>
      </c>
      <c r="AT79" s="70">
        <v>9.9056606292724609</v>
      </c>
      <c r="AU79" s="70">
        <v>52.358489990234375</v>
      </c>
      <c r="AV79" s="70">
        <v>43</v>
      </c>
      <c r="AW79" s="70">
        <v>47</v>
      </c>
      <c r="AX79" s="70">
        <v>47</v>
      </c>
      <c r="AY79" s="70">
        <v>54</v>
      </c>
      <c r="AZ79" s="70">
        <v>12</v>
      </c>
      <c r="BA79" s="70">
        <v>12</v>
      </c>
      <c r="BB79" s="70">
        <v>21.182266235351563</v>
      </c>
      <c r="BC79" s="70">
        <v>23.1527099609375</v>
      </c>
      <c r="BD79" s="70">
        <v>23.1527099609375</v>
      </c>
      <c r="BE79" s="70">
        <v>26.600984573364258</v>
      </c>
      <c r="BF79" s="70">
        <v>5.9113302230834961</v>
      </c>
    </row>
    <row r="80" spans="1:58" x14ac:dyDescent="0.25">
      <c r="A80" s="71" t="s">
        <v>237</v>
      </c>
      <c r="B80" s="71" t="s">
        <v>238</v>
      </c>
      <c r="C80" s="72">
        <v>88</v>
      </c>
      <c r="D80" s="72">
        <v>13</v>
      </c>
      <c r="E80" s="72">
        <v>26</v>
      </c>
      <c r="F80" s="72">
        <v>87.128715515136719</v>
      </c>
      <c r="G80" s="72">
        <v>12.87128734588623</v>
      </c>
      <c r="H80" s="72">
        <v>123</v>
      </c>
      <c r="I80" s="72"/>
      <c r="J80" s="72">
        <v>1</v>
      </c>
      <c r="K80" s="72"/>
      <c r="L80" s="72"/>
      <c r="M80" s="72">
        <v>3</v>
      </c>
      <c r="N80" s="72">
        <v>99.193550109863281</v>
      </c>
      <c r="O80" s="72"/>
      <c r="P80" s="72">
        <v>0.80645161867141724</v>
      </c>
      <c r="Q80" s="72"/>
      <c r="R80" s="72"/>
      <c r="S80" s="72">
        <v>4</v>
      </c>
      <c r="T80" s="72">
        <v>18</v>
      </c>
      <c r="U80" s="72">
        <v>54</v>
      </c>
      <c r="V80" s="72">
        <v>25</v>
      </c>
      <c r="W80" s="72">
        <v>26</v>
      </c>
      <c r="X80" s="72">
        <v>3.1496062278747559</v>
      </c>
      <c r="Y80" s="72">
        <v>14.17322826385498</v>
      </c>
      <c r="Z80" s="72">
        <v>42.519683837890625</v>
      </c>
      <c r="AA80" s="72">
        <v>19.685039520263672</v>
      </c>
      <c r="AB80" s="72">
        <v>20.472440719604492</v>
      </c>
      <c r="AC80" s="72">
        <v>4</v>
      </c>
      <c r="AD80" s="72">
        <v>5</v>
      </c>
      <c r="AE80" s="72">
        <v>74</v>
      </c>
      <c r="AF80" s="72">
        <v>44</v>
      </c>
      <c r="AG80" s="72">
        <v>3.1496062278747559</v>
      </c>
      <c r="AH80" s="72">
        <v>3.9370079040527344</v>
      </c>
      <c r="AI80" s="72">
        <v>58.267715454101563</v>
      </c>
      <c r="AJ80" s="72">
        <v>34.645668029785156</v>
      </c>
      <c r="AK80" s="72">
        <v>32</v>
      </c>
      <c r="AL80" s="72">
        <v>11</v>
      </c>
      <c r="AM80" s="72">
        <v>6</v>
      </c>
      <c r="AN80" s="72">
        <v>11</v>
      </c>
      <c r="AO80" s="72">
        <v>59</v>
      </c>
      <c r="AP80" s="72">
        <v>8</v>
      </c>
      <c r="AQ80" s="72">
        <v>26.890756607055664</v>
      </c>
      <c r="AR80" s="72">
        <v>9.2436971664428711</v>
      </c>
      <c r="AS80" s="72">
        <v>5.0420169830322266</v>
      </c>
      <c r="AT80" s="72">
        <v>9.2436971664428711</v>
      </c>
      <c r="AU80" s="72">
        <v>49.579830169677734</v>
      </c>
      <c r="AV80" s="72">
        <v>35</v>
      </c>
      <c r="AW80" s="72">
        <v>42</v>
      </c>
      <c r="AX80" s="72">
        <v>14</v>
      </c>
      <c r="AY80" s="72">
        <v>22</v>
      </c>
      <c r="AZ80" s="72">
        <v>7</v>
      </c>
      <c r="BA80" s="72">
        <v>7</v>
      </c>
      <c r="BB80" s="72">
        <v>29.166666030883789</v>
      </c>
      <c r="BC80" s="72">
        <v>35</v>
      </c>
      <c r="BD80" s="72">
        <v>11.666666984558105</v>
      </c>
      <c r="BE80" s="72">
        <v>18.333333969116211</v>
      </c>
      <c r="BF80" s="72">
        <v>5.8333334922790527</v>
      </c>
    </row>
    <row r="81" spans="1:58" x14ac:dyDescent="0.25">
      <c r="A81" s="69" t="s">
        <v>239</v>
      </c>
      <c r="B81" s="69" t="s">
        <v>240</v>
      </c>
      <c r="C81" s="70">
        <v>68</v>
      </c>
      <c r="D81" s="70">
        <v>4</v>
      </c>
      <c r="E81" s="70">
        <v>295</v>
      </c>
      <c r="F81" s="70">
        <v>94.444442749023438</v>
      </c>
      <c r="G81" s="70">
        <v>5.5555553436279297</v>
      </c>
      <c r="H81" s="70">
        <v>343</v>
      </c>
      <c r="I81" s="70">
        <v>5</v>
      </c>
      <c r="J81" s="70">
        <v>3</v>
      </c>
      <c r="K81" s="70">
        <v>3</v>
      </c>
      <c r="L81" s="70">
        <v>5</v>
      </c>
      <c r="M81" s="70">
        <v>8</v>
      </c>
      <c r="N81" s="70">
        <v>95.543174743652344</v>
      </c>
      <c r="O81" s="70">
        <v>1.3927576541900635</v>
      </c>
      <c r="P81" s="70">
        <v>0.835654616355896</v>
      </c>
      <c r="Q81" s="70">
        <v>0.835654616355896</v>
      </c>
      <c r="R81" s="70">
        <v>1.3927576541900635</v>
      </c>
      <c r="S81" s="70">
        <v>102</v>
      </c>
      <c r="T81" s="70">
        <v>156</v>
      </c>
      <c r="U81" s="70">
        <v>48</v>
      </c>
      <c r="V81" s="70">
        <v>46</v>
      </c>
      <c r="W81" s="70">
        <v>15</v>
      </c>
      <c r="X81" s="70">
        <v>27.792915344238281</v>
      </c>
      <c r="Y81" s="70">
        <v>42.506813049316406</v>
      </c>
      <c r="Z81" s="70">
        <v>13.079019546508789</v>
      </c>
      <c r="AA81" s="70">
        <v>12.534059524536133</v>
      </c>
      <c r="AB81" s="70">
        <v>4.087193489074707</v>
      </c>
      <c r="AC81" s="70">
        <v>20</v>
      </c>
      <c r="AD81" s="70">
        <v>2</v>
      </c>
      <c r="AE81" s="70">
        <v>167</v>
      </c>
      <c r="AF81" s="70">
        <v>178</v>
      </c>
      <c r="AG81" s="70">
        <v>5.4495911598205566</v>
      </c>
      <c r="AH81" s="70">
        <v>0.54495912790298462</v>
      </c>
      <c r="AI81" s="70">
        <v>45.504085540771484</v>
      </c>
      <c r="AJ81" s="70">
        <v>48.501361846923828</v>
      </c>
      <c r="AK81" s="70">
        <v>79</v>
      </c>
      <c r="AL81" s="70">
        <v>43</v>
      </c>
      <c r="AM81" s="70">
        <v>43</v>
      </c>
      <c r="AN81" s="70">
        <v>24</v>
      </c>
      <c r="AO81" s="70">
        <v>124</v>
      </c>
      <c r="AP81" s="70">
        <v>54</v>
      </c>
      <c r="AQ81" s="70">
        <v>25.239616394042969</v>
      </c>
      <c r="AR81" s="70">
        <v>13.738018989562988</v>
      </c>
      <c r="AS81" s="70">
        <v>13.738018989562988</v>
      </c>
      <c r="AT81" s="70">
        <v>7.667731761932373</v>
      </c>
      <c r="AU81" s="70">
        <v>39.616615295410156</v>
      </c>
      <c r="AV81" s="70">
        <v>67</v>
      </c>
      <c r="AW81" s="70">
        <v>81</v>
      </c>
      <c r="AX81" s="70">
        <v>51</v>
      </c>
      <c r="AY81" s="70">
        <v>47</v>
      </c>
      <c r="AZ81" s="70">
        <v>7</v>
      </c>
      <c r="BA81" s="70">
        <v>114</v>
      </c>
      <c r="BB81" s="70">
        <v>26.482213973999023</v>
      </c>
      <c r="BC81" s="70">
        <v>32.015811920166016</v>
      </c>
      <c r="BD81" s="70">
        <v>20.158102035522461</v>
      </c>
      <c r="BE81" s="70">
        <v>18.577075958251953</v>
      </c>
      <c r="BF81" s="70">
        <v>2.7667984962463379</v>
      </c>
    </row>
    <row r="82" spans="1:58" x14ac:dyDescent="0.25">
      <c r="A82" s="71" t="s">
        <v>241</v>
      </c>
      <c r="B82" s="71" t="s">
        <v>242</v>
      </c>
      <c r="C82" s="72">
        <v>73</v>
      </c>
      <c r="D82" s="72">
        <v>6</v>
      </c>
      <c r="E82" s="72">
        <v>187</v>
      </c>
      <c r="F82" s="72">
        <v>92.405059814453125</v>
      </c>
      <c r="G82" s="72">
        <v>7.5949368476867676</v>
      </c>
      <c r="H82" s="72">
        <v>231</v>
      </c>
      <c r="I82" s="72">
        <v>7</v>
      </c>
      <c r="J82" s="72">
        <v>9</v>
      </c>
      <c r="K82" s="72">
        <v>4</v>
      </c>
      <c r="L82" s="72">
        <v>5</v>
      </c>
      <c r="M82" s="72">
        <v>10</v>
      </c>
      <c r="N82" s="72">
        <v>90.234375</v>
      </c>
      <c r="O82" s="72">
        <v>2.734375</v>
      </c>
      <c r="P82" s="72">
        <v>3.515625</v>
      </c>
      <c r="Q82" s="72">
        <v>1.5625</v>
      </c>
      <c r="R82" s="72">
        <v>1.953125</v>
      </c>
      <c r="S82" s="72">
        <v>75</v>
      </c>
      <c r="T82" s="72">
        <v>75</v>
      </c>
      <c r="U82" s="72">
        <v>50</v>
      </c>
      <c r="V82" s="72">
        <v>43</v>
      </c>
      <c r="W82" s="72">
        <v>23</v>
      </c>
      <c r="X82" s="72">
        <v>28.195487976074219</v>
      </c>
      <c r="Y82" s="72">
        <v>28.195487976074219</v>
      </c>
      <c r="Z82" s="72">
        <v>18.796993255615234</v>
      </c>
      <c r="AA82" s="72">
        <v>16.165412902832031</v>
      </c>
      <c r="AB82" s="72">
        <v>8.6466169357299805</v>
      </c>
      <c r="AC82" s="72">
        <v>18</v>
      </c>
      <c r="AD82" s="72">
        <v>2</v>
      </c>
      <c r="AE82" s="72">
        <v>104</v>
      </c>
      <c r="AF82" s="72">
        <v>142</v>
      </c>
      <c r="AG82" s="72">
        <v>6.7669172286987305</v>
      </c>
      <c r="AH82" s="72">
        <v>0.75187969207763672</v>
      </c>
      <c r="AI82" s="72">
        <v>39.097743988037109</v>
      </c>
      <c r="AJ82" s="72">
        <v>53.383457183837891</v>
      </c>
      <c r="AK82" s="72">
        <v>45</v>
      </c>
      <c r="AL82" s="72">
        <v>13</v>
      </c>
      <c r="AM82" s="72">
        <v>23</v>
      </c>
      <c r="AN82" s="72">
        <v>28</v>
      </c>
      <c r="AO82" s="72">
        <v>105</v>
      </c>
      <c r="AP82" s="72">
        <v>52</v>
      </c>
      <c r="AQ82" s="72">
        <v>21.028038024902344</v>
      </c>
      <c r="AR82" s="72">
        <v>6.0747661590576172</v>
      </c>
      <c r="AS82" s="72">
        <v>10.747663497924805</v>
      </c>
      <c r="AT82" s="72">
        <v>13.084112167358398</v>
      </c>
      <c r="AU82" s="72">
        <v>49.065422058105469</v>
      </c>
      <c r="AV82" s="72">
        <v>26</v>
      </c>
      <c r="AW82" s="72">
        <v>55</v>
      </c>
      <c r="AX82" s="72">
        <v>39</v>
      </c>
      <c r="AY82" s="72">
        <v>44</v>
      </c>
      <c r="AZ82" s="72">
        <v>16</v>
      </c>
      <c r="BA82" s="72">
        <v>86</v>
      </c>
      <c r="BB82" s="72">
        <v>14.44444465637207</v>
      </c>
      <c r="BC82" s="72">
        <v>30.55555534362793</v>
      </c>
      <c r="BD82" s="72">
        <v>21.666666030883789</v>
      </c>
      <c r="BE82" s="72">
        <v>24.44444465637207</v>
      </c>
      <c r="BF82" s="72">
        <v>8.8888893127441406</v>
      </c>
    </row>
    <row r="83" spans="1:58" x14ac:dyDescent="0.25">
      <c r="A83" s="69" t="s">
        <v>243</v>
      </c>
      <c r="B83" s="69" t="s">
        <v>244</v>
      </c>
      <c r="C83" s="70">
        <v>6</v>
      </c>
      <c r="D83" s="70">
        <v>2</v>
      </c>
      <c r="E83" s="70">
        <v>40</v>
      </c>
      <c r="F83" s="70">
        <v>75</v>
      </c>
      <c r="G83" s="70">
        <v>25</v>
      </c>
      <c r="H83" s="70">
        <v>39</v>
      </c>
      <c r="I83" s="70"/>
      <c r="J83" s="70">
        <v>2</v>
      </c>
      <c r="K83" s="70">
        <v>3</v>
      </c>
      <c r="L83" s="70">
        <v>4</v>
      </c>
      <c r="M83" s="70"/>
      <c r="N83" s="70">
        <v>81.25</v>
      </c>
      <c r="O83" s="70"/>
      <c r="P83" s="70">
        <v>4.1666665077209473</v>
      </c>
      <c r="Q83" s="70">
        <v>6.25</v>
      </c>
      <c r="R83" s="70">
        <v>8.3333330154418945</v>
      </c>
      <c r="S83" s="70">
        <v>5</v>
      </c>
      <c r="T83" s="70">
        <v>12</v>
      </c>
      <c r="U83" s="70">
        <v>9</v>
      </c>
      <c r="V83" s="70">
        <v>10</v>
      </c>
      <c r="W83" s="70">
        <v>12</v>
      </c>
      <c r="X83" s="70">
        <v>10.416666984558105</v>
      </c>
      <c r="Y83" s="70">
        <v>25</v>
      </c>
      <c r="Z83" s="70">
        <v>18.75</v>
      </c>
      <c r="AA83" s="70">
        <v>20.833333969116211</v>
      </c>
      <c r="AB83" s="70">
        <v>25</v>
      </c>
      <c r="AC83" s="70">
        <v>1</v>
      </c>
      <c r="AD83" s="70"/>
      <c r="AE83" s="70">
        <v>42</v>
      </c>
      <c r="AF83" s="70">
        <v>5</v>
      </c>
      <c r="AG83" s="70">
        <v>2.0833332538604736</v>
      </c>
      <c r="AH83" s="70"/>
      <c r="AI83" s="70">
        <v>87.5</v>
      </c>
      <c r="AJ83" s="70">
        <v>10.416666984558105</v>
      </c>
      <c r="AK83" s="70">
        <v>9</v>
      </c>
      <c r="AL83" s="70">
        <v>3</v>
      </c>
      <c r="AM83" s="70">
        <v>4</v>
      </c>
      <c r="AN83" s="70">
        <v>3</v>
      </c>
      <c r="AO83" s="70">
        <v>20</v>
      </c>
      <c r="AP83" s="70">
        <v>9</v>
      </c>
      <c r="AQ83" s="70">
        <v>23.076923370361328</v>
      </c>
      <c r="AR83" s="70">
        <v>7.6923074722290039</v>
      </c>
      <c r="AS83" s="70">
        <v>10.256410598754883</v>
      </c>
      <c r="AT83" s="70">
        <v>7.6923074722290039</v>
      </c>
      <c r="AU83" s="70">
        <v>51.282051086425781</v>
      </c>
      <c r="AV83" s="70">
        <v>5</v>
      </c>
      <c r="AW83" s="70">
        <v>18</v>
      </c>
      <c r="AX83" s="70">
        <v>6</v>
      </c>
      <c r="AY83" s="70"/>
      <c r="AZ83" s="70"/>
      <c r="BA83" s="70">
        <v>19</v>
      </c>
      <c r="BB83" s="70">
        <v>17.241378784179688</v>
      </c>
      <c r="BC83" s="70">
        <v>62.068965911865234</v>
      </c>
      <c r="BD83" s="70">
        <v>20.689655303955078</v>
      </c>
      <c r="BE83" s="70"/>
      <c r="BF83" s="70"/>
    </row>
    <row r="84" spans="1:58" x14ac:dyDescent="0.25">
      <c r="A84" s="71" t="s">
        <v>245</v>
      </c>
      <c r="B84" s="71" t="s">
        <v>246</v>
      </c>
      <c r="C84" s="72">
        <v>12</v>
      </c>
      <c r="D84" s="72">
        <v>3</v>
      </c>
      <c r="E84" s="72">
        <v>187</v>
      </c>
      <c r="F84" s="72">
        <v>80</v>
      </c>
      <c r="G84" s="72">
        <v>20</v>
      </c>
      <c r="H84" s="72">
        <v>138</v>
      </c>
      <c r="I84" s="72">
        <v>6</v>
      </c>
      <c r="J84" s="72">
        <v>11</v>
      </c>
      <c r="K84" s="72">
        <v>9</v>
      </c>
      <c r="L84" s="72">
        <v>26</v>
      </c>
      <c r="M84" s="72">
        <v>12</v>
      </c>
      <c r="N84" s="72">
        <v>72.631576538085938</v>
      </c>
      <c r="O84" s="72">
        <v>3.1578948497772217</v>
      </c>
      <c r="P84" s="72">
        <v>5.7894735336303711</v>
      </c>
      <c r="Q84" s="72">
        <v>4.736842155456543</v>
      </c>
      <c r="R84" s="72">
        <v>13.684210777282715</v>
      </c>
      <c r="S84" s="72">
        <v>20</v>
      </c>
      <c r="T84" s="72">
        <v>64</v>
      </c>
      <c r="U84" s="72">
        <v>67</v>
      </c>
      <c r="V84" s="72">
        <v>29</v>
      </c>
      <c r="W84" s="72">
        <v>22</v>
      </c>
      <c r="X84" s="72">
        <v>9.9009904861450195</v>
      </c>
      <c r="Y84" s="72">
        <v>31.683168411254883</v>
      </c>
      <c r="Z84" s="72">
        <v>33.168315887451172</v>
      </c>
      <c r="AA84" s="72">
        <v>14.356435775756836</v>
      </c>
      <c r="AB84" s="72">
        <v>10.89108943939209</v>
      </c>
      <c r="AC84" s="72">
        <v>9</v>
      </c>
      <c r="AD84" s="72">
        <v>4</v>
      </c>
      <c r="AE84" s="72">
        <v>128</v>
      </c>
      <c r="AF84" s="72">
        <v>61</v>
      </c>
      <c r="AG84" s="72">
        <v>4.4554457664489746</v>
      </c>
      <c r="AH84" s="72">
        <v>1.9801980257034302</v>
      </c>
      <c r="AI84" s="72">
        <v>63.366336822509766</v>
      </c>
      <c r="AJ84" s="72">
        <v>30.198019027709961</v>
      </c>
      <c r="AK84" s="72">
        <v>44</v>
      </c>
      <c r="AL84" s="72">
        <v>17</v>
      </c>
      <c r="AM84" s="72">
        <v>33</v>
      </c>
      <c r="AN84" s="72">
        <v>8</v>
      </c>
      <c r="AO84" s="72">
        <v>89</v>
      </c>
      <c r="AP84" s="72">
        <v>11</v>
      </c>
      <c r="AQ84" s="72">
        <v>23.036649703979492</v>
      </c>
      <c r="AR84" s="72">
        <v>8.9005231857299805</v>
      </c>
      <c r="AS84" s="72">
        <v>17.277486801147461</v>
      </c>
      <c r="AT84" s="72">
        <v>4.1884818077087402</v>
      </c>
      <c r="AU84" s="72">
        <v>46.596858978271484</v>
      </c>
      <c r="AV84" s="72">
        <v>48</v>
      </c>
      <c r="AW84" s="72">
        <v>47</v>
      </c>
      <c r="AX84" s="72">
        <v>23</v>
      </c>
      <c r="AY84" s="72">
        <v>41</v>
      </c>
      <c r="AZ84" s="72">
        <v>17</v>
      </c>
      <c r="BA84" s="72">
        <v>26</v>
      </c>
      <c r="BB84" s="72">
        <v>27.272727966308594</v>
      </c>
      <c r="BC84" s="72">
        <v>26.704545974731445</v>
      </c>
      <c r="BD84" s="72">
        <v>13.068181991577148</v>
      </c>
      <c r="BE84" s="72">
        <v>23.295454025268555</v>
      </c>
      <c r="BF84" s="72">
        <v>9.6590909957885742</v>
      </c>
    </row>
    <row r="85" spans="1:58" x14ac:dyDescent="0.25">
      <c r="A85" s="69" t="s">
        <v>247</v>
      </c>
      <c r="B85" s="69" t="s">
        <v>248</v>
      </c>
      <c r="C85" s="70">
        <v>57</v>
      </c>
      <c r="D85" s="70">
        <v>3</v>
      </c>
      <c r="E85" s="70">
        <v>98</v>
      </c>
      <c r="F85" s="70">
        <v>95</v>
      </c>
      <c r="G85" s="70">
        <v>5</v>
      </c>
      <c r="H85" s="70">
        <v>149</v>
      </c>
      <c r="I85" s="70">
        <v>2</v>
      </c>
      <c r="J85" s="70">
        <v>3</v>
      </c>
      <c r="K85" s="70">
        <v>2</v>
      </c>
      <c r="L85" s="70">
        <v>2</v>
      </c>
      <c r="M85" s="70"/>
      <c r="N85" s="70">
        <v>94.303794860839844</v>
      </c>
      <c r="O85" s="70">
        <v>1.2658227682113647</v>
      </c>
      <c r="P85" s="70">
        <v>1.8987342119216919</v>
      </c>
      <c r="Q85" s="70">
        <v>1.2658227682113647</v>
      </c>
      <c r="R85" s="70">
        <v>1.2658227682113647</v>
      </c>
      <c r="S85" s="70">
        <v>2</v>
      </c>
      <c r="T85" s="70">
        <v>43</v>
      </c>
      <c r="U85" s="70">
        <v>51</v>
      </c>
      <c r="V85" s="70">
        <v>31</v>
      </c>
      <c r="W85" s="70">
        <v>31</v>
      </c>
      <c r="X85" s="70">
        <v>1.2658227682113647</v>
      </c>
      <c r="Y85" s="70">
        <v>27.215188980102539</v>
      </c>
      <c r="Z85" s="70">
        <v>32.278480529785156</v>
      </c>
      <c r="AA85" s="70">
        <v>19.62025260925293</v>
      </c>
      <c r="AB85" s="70">
        <v>19.62025260925293</v>
      </c>
      <c r="AC85" s="70">
        <v>9</v>
      </c>
      <c r="AD85" s="70">
        <v>2</v>
      </c>
      <c r="AE85" s="70">
        <v>142</v>
      </c>
      <c r="AF85" s="70">
        <v>5</v>
      </c>
      <c r="AG85" s="70">
        <v>5.6962027549743652</v>
      </c>
      <c r="AH85" s="70">
        <v>1.2658227682113647</v>
      </c>
      <c r="AI85" s="70">
        <v>89.873420715332031</v>
      </c>
      <c r="AJ85" s="70">
        <v>3.1645569801330566</v>
      </c>
      <c r="AK85" s="70">
        <v>22</v>
      </c>
      <c r="AL85" s="70">
        <v>5</v>
      </c>
      <c r="AM85" s="70">
        <v>10</v>
      </c>
      <c r="AN85" s="70">
        <v>8</v>
      </c>
      <c r="AO85" s="70">
        <v>67</v>
      </c>
      <c r="AP85" s="70">
        <v>46</v>
      </c>
      <c r="AQ85" s="70">
        <v>19.642856597900391</v>
      </c>
      <c r="AR85" s="70">
        <v>4.4642858505249023</v>
      </c>
      <c r="AS85" s="70">
        <v>8.9285717010498047</v>
      </c>
      <c r="AT85" s="70">
        <v>7.1428570747375488</v>
      </c>
      <c r="AU85" s="70">
        <v>59.821430206298828</v>
      </c>
      <c r="AV85" s="70">
        <v>25</v>
      </c>
      <c r="AW85" s="70">
        <v>47</v>
      </c>
      <c r="AX85" s="70">
        <v>29</v>
      </c>
      <c r="AY85" s="70">
        <v>24</v>
      </c>
      <c r="AZ85" s="70">
        <v>14</v>
      </c>
      <c r="BA85" s="70">
        <v>19</v>
      </c>
      <c r="BB85" s="70">
        <v>17.985610961914063</v>
      </c>
      <c r="BC85" s="70">
        <v>33.812950134277344</v>
      </c>
      <c r="BD85" s="70">
        <v>20.863309860229492</v>
      </c>
      <c r="BE85" s="70">
        <v>17.26618766784668</v>
      </c>
      <c r="BF85" s="70">
        <v>10.071942329406738</v>
      </c>
    </row>
    <row r="86" spans="1:58" x14ac:dyDescent="0.25">
      <c r="A86" s="71" t="s">
        <v>249</v>
      </c>
      <c r="B86" s="71" t="s">
        <v>250</v>
      </c>
      <c r="C86" s="72">
        <v>38</v>
      </c>
      <c r="D86" s="72">
        <v>4</v>
      </c>
      <c r="E86" s="72">
        <v>73</v>
      </c>
      <c r="F86" s="72">
        <v>90.476188659667969</v>
      </c>
      <c r="G86" s="72">
        <v>9.5238094329833984</v>
      </c>
      <c r="H86" s="72">
        <v>76</v>
      </c>
      <c r="I86" s="72">
        <v>2</v>
      </c>
      <c r="J86" s="72">
        <v>9</v>
      </c>
      <c r="K86" s="72">
        <v>12</v>
      </c>
      <c r="L86" s="72">
        <v>15</v>
      </c>
      <c r="M86" s="72">
        <v>1</v>
      </c>
      <c r="N86" s="72">
        <v>66.666664123535156</v>
      </c>
      <c r="O86" s="72">
        <v>1.7543859481811523</v>
      </c>
      <c r="P86" s="72">
        <v>7.8947367668151855</v>
      </c>
      <c r="Q86" s="72">
        <v>10.526315689086914</v>
      </c>
      <c r="R86" s="72">
        <v>13.157895088195801</v>
      </c>
      <c r="S86" s="72">
        <v>53</v>
      </c>
      <c r="T86" s="72">
        <v>55</v>
      </c>
      <c r="U86" s="72">
        <v>6</v>
      </c>
      <c r="V86" s="72"/>
      <c r="W86" s="72">
        <v>1</v>
      </c>
      <c r="X86" s="72">
        <v>46.086956024169922</v>
      </c>
      <c r="Y86" s="72">
        <v>47.826087951660156</v>
      </c>
      <c r="Z86" s="72">
        <v>5.2173914909362793</v>
      </c>
      <c r="AA86" s="72"/>
      <c r="AB86" s="72">
        <v>0.86956518888473511</v>
      </c>
      <c r="AC86" s="72">
        <v>5</v>
      </c>
      <c r="AD86" s="72">
        <v>5</v>
      </c>
      <c r="AE86" s="72">
        <v>62</v>
      </c>
      <c r="AF86" s="72">
        <v>43</v>
      </c>
      <c r="AG86" s="72">
        <v>4.3478260040283203</v>
      </c>
      <c r="AH86" s="72">
        <v>4.3478260040283203</v>
      </c>
      <c r="AI86" s="72">
        <v>53.913043975830078</v>
      </c>
      <c r="AJ86" s="72">
        <v>37.391304016113281</v>
      </c>
      <c r="AK86" s="72">
        <v>32</v>
      </c>
      <c r="AL86" s="72">
        <v>7</v>
      </c>
      <c r="AM86" s="72">
        <v>7</v>
      </c>
      <c r="AN86" s="72">
        <v>13</v>
      </c>
      <c r="AO86" s="72">
        <v>39</v>
      </c>
      <c r="AP86" s="72">
        <v>17</v>
      </c>
      <c r="AQ86" s="72">
        <v>32.653060913085938</v>
      </c>
      <c r="AR86" s="72">
        <v>7.1428570747375488</v>
      </c>
      <c r="AS86" s="72">
        <v>7.1428570747375488</v>
      </c>
      <c r="AT86" s="72">
        <v>13.26530647277832</v>
      </c>
      <c r="AU86" s="72">
        <v>39.795917510986328</v>
      </c>
      <c r="AV86" s="72">
        <v>24</v>
      </c>
      <c r="AW86" s="72">
        <v>25</v>
      </c>
      <c r="AX86" s="72">
        <v>15</v>
      </c>
      <c r="AY86" s="72">
        <v>13</v>
      </c>
      <c r="AZ86" s="72">
        <v>2</v>
      </c>
      <c r="BA86" s="72">
        <v>36</v>
      </c>
      <c r="BB86" s="72">
        <v>30.37974739074707</v>
      </c>
      <c r="BC86" s="72">
        <v>31.64556884765625</v>
      </c>
      <c r="BD86" s="72">
        <v>18.987340927124023</v>
      </c>
      <c r="BE86" s="72">
        <v>16.455696105957031</v>
      </c>
      <c r="BF86" s="72">
        <v>2.5316455364227295</v>
      </c>
    </row>
    <row r="87" spans="1:58" x14ac:dyDescent="0.25">
      <c r="A87" s="69" t="s">
        <v>251</v>
      </c>
      <c r="B87" s="69" t="s">
        <v>252</v>
      </c>
      <c r="C87" s="70">
        <v>79</v>
      </c>
      <c r="D87" s="70">
        <v>7</v>
      </c>
      <c r="E87" s="70">
        <v>152</v>
      </c>
      <c r="F87" s="70">
        <v>91.860466003417969</v>
      </c>
      <c r="G87" s="70">
        <v>8.1395349502563477</v>
      </c>
      <c r="H87" s="70">
        <v>215</v>
      </c>
      <c r="I87" s="70">
        <v>6</v>
      </c>
      <c r="J87" s="70">
        <v>2</v>
      </c>
      <c r="K87" s="70">
        <v>4</v>
      </c>
      <c r="L87" s="70">
        <v>2</v>
      </c>
      <c r="M87" s="70">
        <v>9</v>
      </c>
      <c r="N87" s="70">
        <v>93.886459350585938</v>
      </c>
      <c r="O87" s="70">
        <v>2.6200873851776123</v>
      </c>
      <c r="P87" s="70">
        <v>0.87336242198944092</v>
      </c>
      <c r="Q87" s="70">
        <v>1.7467248439788818</v>
      </c>
      <c r="R87" s="70">
        <v>0.87336242198944092</v>
      </c>
      <c r="S87" s="70">
        <v>84</v>
      </c>
      <c r="T87" s="70">
        <v>71</v>
      </c>
      <c r="U87" s="70">
        <v>37</v>
      </c>
      <c r="V87" s="70">
        <v>28</v>
      </c>
      <c r="W87" s="70">
        <v>18</v>
      </c>
      <c r="X87" s="70">
        <v>35.294116973876953</v>
      </c>
      <c r="Y87" s="70">
        <v>29.831932067871094</v>
      </c>
      <c r="Z87" s="70">
        <v>15.546218872070313</v>
      </c>
      <c r="AA87" s="70">
        <v>11.764705657958984</v>
      </c>
      <c r="AB87" s="70">
        <v>7.5630249977111816</v>
      </c>
      <c r="AC87" s="70">
        <v>22</v>
      </c>
      <c r="AD87" s="70">
        <v>2</v>
      </c>
      <c r="AE87" s="70">
        <v>87</v>
      </c>
      <c r="AF87" s="70">
        <v>127</v>
      </c>
      <c r="AG87" s="70">
        <v>9.2436971664428711</v>
      </c>
      <c r="AH87" s="70">
        <v>0.8403361439704895</v>
      </c>
      <c r="AI87" s="70">
        <v>36.554622650146484</v>
      </c>
      <c r="AJ87" s="70">
        <v>53.361343383789063</v>
      </c>
      <c r="AK87" s="70">
        <v>50</v>
      </c>
      <c r="AL87" s="70">
        <v>16</v>
      </c>
      <c r="AM87" s="70">
        <v>34</v>
      </c>
      <c r="AN87" s="70">
        <v>20</v>
      </c>
      <c r="AO87" s="70">
        <v>86</v>
      </c>
      <c r="AP87" s="70">
        <v>32</v>
      </c>
      <c r="AQ87" s="70">
        <v>24.271844863891602</v>
      </c>
      <c r="AR87" s="70">
        <v>7.7669901847839355</v>
      </c>
      <c r="AS87" s="70">
        <v>16.504854202270508</v>
      </c>
      <c r="AT87" s="70">
        <v>9.7087383270263672</v>
      </c>
      <c r="AU87" s="70">
        <v>41.747573852539063</v>
      </c>
      <c r="AV87" s="70">
        <v>10</v>
      </c>
      <c r="AW87" s="70">
        <v>49</v>
      </c>
      <c r="AX87" s="70">
        <v>47</v>
      </c>
      <c r="AY87" s="70">
        <v>74</v>
      </c>
      <c r="AZ87" s="70">
        <v>30</v>
      </c>
      <c r="BA87" s="70">
        <v>28</v>
      </c>
      <c r="BB87" s="70">
        <v>4.7619047164916992</v>
      </c>
      <c r="BC87" s="70">
        <v>23.333333969116211</v>
      </c>
      <c r="BD87" s="70">
        <v>22.380952835083008</v>
      </c>
      <c r="BE87" s="70">
        <v>35.238094329833984</v>
      </c>
      <c r="BF87" s="70">
        <v>14.285714149475098</v>
      </c>
    </row>
    <row r="88" spans="1:58" x14ac:dyDescent="0.25">
      <c r="A88" s="71" t="s">
        <v>253</v>
      </c>
      <c r="B88" s="71" t="s">
        <v>254</v>
      </c>
      <c r="C88" s="72">
        <v>8</v>
      </c>
      <c r="D88" s="72">
        <v>1</v>
      </c>
      <c r="E88" s="72">
        <v>620</v>
      </c>
      <c r="F88" s="72">
        <v>88.888885498046875</v>
      </c>
      <c r="G88" s="72">
        <v>11.111110687255859</v>
      </c>
      <c r="H88" s="72">
        <v>591</v>
      </c>
      <c r="I88" s="72">
        <v>9</v>
      </c>
      <c r="J88" s="72">
        <v>12</v>
      </c>
      <c r="K88" s="72">
        <v>4</v>
      </c>
      <c r="L88" s="72">
        <v>7</v>
      </c>
      <c r="M88" s="72">
        <v>6</v>
      </c>
      <c r="N88" s="72">
        <v>94.863563537597656</v>
      </c>
      <c r="O88" s="72">
        <v>1.4446227550506592</v>
      </c>
      <c r="P88" s="72">
        <v>1.9261636734008789</v>
      </c>
      <c r="Q88" s="72">
        <v>0.64205455780029297</v>
      </c>
      <c r="R88" s="72">
        <v>1.1235954761505127</v>
      </c>
      <c r="S88" s="72">
        <v>261</v>
      </c>
      <c r="T88" s="72">
        <v>80</v>
      </c>
      <c r="U88" s="72">
        <v>116</v>
      </c>
      <c r="V88" s="72">
        <v>97</v>
      </c>
      <c r="W88" s="72">
        <v>75</v>
      </c>
      <c r="X88" s="72">
        <v>41.494434356689453</v>
      </c>
      <c r="Y88" s="72">
        <v>12.718601226806641</v>
      </c>
      <c r="Z88" s="72">
        <v>18.441970825195313</v>
      </c>
      <c r="AA88" s="72">
        <v>15.421303749084473</v>
      </c>
      <c r="AB88" s="72">
        <v>11.923687934875488</v>
      </c>
      <c r="AC88" s="72">
        <v>43</v>
      </c>
      <c r="AD88" s="72">
        <v>6</v>
      </c>
      <c r="AE88" s="72">
        <v>576</v>
      </c>
      <c r="AF88" s="72">
        <v>4</v>
      </c>
      <c r="AG88" s="72">
        <v>6.8362479209899902</v>
      </c>
      <c r="AH88" s="72">
        <v>0.95389509201049805</v>
      </c>
      <c r="AI88" s="72">
        <v>91.573928833007813</v>
      </c>
      <c r="AJ88" s="72">
        <v>0.63593006134033203</v>
      </c>
      <c r="AK88" s="72">
        <v>200</v>
      </c>
      <c r="AL88" s="72">
        <v>53</v>
      </c>
      <c r="AM88" s="72">
        <v>82</v>
      </c>
      <c r="AN88" s="72">
        <v>44</v>
      </c>
      <c r="AO88" s="72">
        <v>212</v>
      </c>
      <c r="AP88" s="72">
        <v>38</v>
      </c>
      <c r="AQ88" s="72">
        <v>33.840946197509766</v>
      </c>
      <c r="AR88" s="72">
        <v>8.9678506851196289</v>
      </c>
      <c r="AS88" s="72">
        <v>13.874788284301758</v>
      </c>
      <c r="AT88" s="72">
        <v>7.4450082778930664</v>
      </c>
      <c r="AU88" s="72">
        <v>35.871402740478516</v>
      </c>
      <c r="AV88" s="72">
        <v>165</v>
      </c>
      <c r="AW88" s="72">
        <v>176</v>
      </c>
      <c r="AX88" s="72">
        <v>81</v>
      </c>
      <c r="AY88" s="72">
        <v>131</v>
      </c>
      <c r="AZ88" s="72">
        <v>45</v>
      </c>
      <c r="BA88" s="72">
        <v>31</v>
      </c>
      <c r="BB88" s="72">
        <v>27.591972351074219</v>
      </c>
      <c r="BC88" s="72">
        <v>29.431438446044922</v>
      </c>
      <c r="BD88" s="72">
        <v>13.545150756835938</v>
      </c>
      <c r="BE88" s="72">
        <v>21.906354904174805</v>
      </c>
      <c r="BF88" s="72">
        <v>7.5250835418701172</v>
      </c>
    </row>
    <row r="89" spans="1:58" x14ac:dyDescent="0.25">
      <c r="A89" s="69" t="s">
        <v>255</v>
      </c>
      <c r="B89" s="69" t="s">
        <v>256</v>
      </c>
      <c r="C89" s="70">
        <v>191</v>
      </c>
      <c r="D89" s="70">
        <v>18</v>
      </c>
      <c r="E89" s="70">
        <v>29</v>
      </c>
      <c r="F89" s="70">
        <v>91.387557983398438</v>
      </c>
      <c r="G89" s="70">
        <v>8.6124401092529297</v>
      </c>
      <c r="H89" s="70">
        <v>220</v>
      </c>
      <c r="I89" s="70">
        <v>2</v>
      </c>
      <c r="J89" s="70">
        <v>1</v>
      </c>
      <c r="K89" s="70">
        <v>15</v>
      </c>
      <c r="L89" s="70"/>
      <c r="M89" s="70"/>
      <c r="N89" s="70">
        <v>92.436973571777344</v>
      </c>
      <c r="O89" s="70">
        <v>0.8403361439704895</v>
      </c>
      <c r="P89" s="70">
        <v>0.42016807198524475</v>
      </c>
      <c r="Q89" s="70">
        <v>6.3025212287902832</v>
      </c>
      <c r="R89" s="70"/>
      <c r="S89" s="70">
        <v>98</v>
      </c>
      <c r="T89" s="70">
        <v>48</v>
      </c>
      <c r="U89" s="70">
        <v>36</v>
      </c>
      <c r="V89" s="70">
        <v>28</v>
      </c>
      <c r="W89" s="70">
        <v>28</v>
      </c>
      <c r="X89" s="70">
        <v>41.176471710205078</v>
      </c>
      <c r="Y89" s="70">
        <v>20.168067932128906</v>
      </c>
      <c r="Z89" s="70">
        <v>15.126049995422363</v>
      </c>
      <c r="AA89" s="70">
        <v>11.764705657958984</v>
      </c>
      <c r="AB89" s="70">
        <v>11.764705657958984</v>
      </c>
      <c r="AC89" s="70">
        <v>25</v>
      </c>
      <c r="AD89" s="70">
        <v>1</v>
      </c>
      <c r="AE89" s="70">
        <v>127</v>
      </c>
      <c r="AF89" s="70">
        <v>85</v>
      </c>
      <c r="AG89" s="70">
        <v>10.504201889038086</v>
      </c>
      <c r="AH89" s="70">
        <v>0.42016807198524475</v>
      </c>
      <c r="AI89" s="70">
        <v>53.361343383789063</v>
      </c>
      <c r="AJ89" s="70">
        <v>35.714286804199219</v>
      </c>
      <c r="AK89" s="70">
        <v>40</v>
      </c>
      <c r="AL89" s="70">
        <v>20</v>
      </c>
      <c r="AM89" s="70">
        <v>34</v>
      </c>
      <c r="AN89" s="70">
        <v>19</v>
      </c>
      <c r="AO89" s="70">
        <v>117</v>
      </c>
      <c r="AP89" s="70">
        <v>8</v>
      </c>
      <c r="AQ89" s="70">
        <v>17.391304016113281</v>
      </c>
      <c r="AR89" s="70">
        <v>8.6956520080566406</v>
      </c>
      <c r="AS89" s="70">
        <v>14.782608985900879</v>
      </c>
      <c r="AT89" s="70">
        <v>8.2608699798583984</v>
      </c>
      <c r="AU89" s="70">
        <v>50.869564056396484</v>
      </c>
      <c r="AV89" s="70">
        <v>44</v>
      </c>
      <c r="AW89" s="70">
        <v>56</v>
      </c>
      <c r="AX89" s="70">
        <v>43</v>
      </c>
      <c r="AY89" s="70">
        <v>49</v>
      </c>
      <c r="AZ89" s="70">
        <v>29</v>
      </c>
      <c r="BA89" s="70">
        <v>17</v>
      </c>
      <c r="BB89" s="70">
        <v>19.909502029418945</v>
      </c>
      <c r="BC89" s="70">
        <v>25.339366912841797</v>
      </c>
      <c r="BD89" s="70">
        <v>19.457014083862305</v>
      </c>
      <c r="BE89" s="70">
        <v>22.171945571899414</v>
      </c>
      <c r="BF89" s="70">
        <v>13.122172355651855</v>
      </c>
    </row>
    <row r="90" spans="1:58" x14ac:dyDescent="0.25">
      <c r="A90" s="71" t="s">
        <v>257</v>
      </c>
      <c r="B90" s="71" t="s">
        <v>258</v>
      </c>
      <c r="C90" s="72">
        <v>26</v>
      </c>
      <c r="D90" s="72">
        <v>4</v>
      </c>
      <c r="E90" s="72">
        <v>756</v>
      </c>
      <c r="F90" s="72">
        <v>86.666664123535156</v>
      </c>
      <c r="G90" s="72">
        <v>13.333333015441895</v>
      </c>
      <c r="H90" s="72">
        <v>643</v>
      </c>
      <c r="I90" s="72">
        <v>28</v>
      </c>
      <c r="J90" s="72">
        <v>49</v>
      </c>
      <c r="K90" s="72">
        <v>24</v>
      </c>
      <c r="L90" s="72">
        <v>19</v>
      </c>
      <c r="M90" s="72">
        <v>23</v>
      </c>
      <c r="N90" s="72">
        <v>84.272605895996094</v>
      </c>
      <c r="O90" s="72">
        <v>3.669724702835083</v>
      </c>
      <c r="P90" s="72">
        <v>6.4220185279846191</v>
      </c>
      <c r="Q90" s="72">
        <v>3.1454784870147705</v>
      </c>
      <c r="R90" s="72">
        <v>2.4901704788208008</v>
      </c>
      <c r="S90" s="72">
        <v>388</v>
      </c>
      <c r="T90" s="72">
        <v>143</v>
      </c>
      <c r="U90" s="72">
        <v>109</v>
      </c>
      <c r="V90" s="72">
        <v>72</v>
      </c>
      <c r="W90" s="72">
        <v>74</v>
      </c>
      <c r="X90" s="72">
        <v>49.363868713378906</v>
      </c>
      <c r="Y90" s="72">
        <v>18.193384170532227</v>
      </c>
      <c r="Z90" s="72">
        <v>13.867684364318848</v>
      </c>
      <c r="AA90" s="72">
        <v>9.1603050231933594</v>
      </c>
      <c r="AB90" s="72">
        <v>9.4147586822509766</v>
      </c>
      <c r="AC90" s="72">
        <v>44</v>
      </c>
      <c r="AD90" s="72">
        <v>13</v>
      </c>
      <c r="AE90" s="72">
        <v>368</v>
      </c>
      <c r="AF90" s="72">
        <v>361</v>
      </c>
      <c r="AG90" s="72">
        <v>5.5979642868041992</v>
      </c>
      <c r="AH90" s="72">
        <v>1.6539440155029297</v>
      </c>
      <c r="AI90" s="72">
        <v>46.819339752197266</v>
      </c>
      <c r="AJ90" s="72">
        <v>45.928752899169922</v>
      </c>
      <c r="AK90" s="72">
        <v>186</v>
      </c>
      <c r="AL90" s="72">
        <v>59</v>
      </c>
      <c r="AM90" s="72">
        <v>78</v>
      </c>
      <c r="AN90" s="72">
        <v>47</v>
      </c>
      <c r="AO90" s="72">
        <v>314</v>
      </c>
      <c r="AP90" s="72">
        <v>102</v>
      </c>
      <c r="AQ90" s="72">
        <v>27.192981719970703</v>
      </c>
      <c r="AR90" s="72">
        <v>8.6257314682006836</v>
      </c>
      <c r="AS90" s="72">
        <v>11.403509140014648</v>
      </c>
      <c r="AT90" s="72">
        <v>6.871345043182373</v>
      </c>
      <c r="AU90" s="72">
        <v>45.90643310546875</v>
      </c>
      <c r="AV90" s="72">
        <v>69</v>
      </c>
      <c r="AW90" s="72">
        <v>184</v>
      </c>
      <c r="AX90" s="72">
        <v>119</v>
      </c>
      <c r="AY90" s="72">
        <v>142</v>
      </c>
      <c r="AZ90" s="72">
        <v>48</v>
      </c>
      <c r="BA90" s="72">
        <v>224</v>
      </c>
      <c r="BB90" s="72">
        <v>12.277580261230469</v>
      </c>
      <c r="BC90" s="72">
        <v>32.740215301513672</v>
      </c>
      <c r="BD90" s="72">
        <v>21.17437744140625</v>
      </c>
      <c r="BE90" s="72">
        <v>25.266904830932617</v>
      </c>
      <c r="BF90" s="72">
        <v>8.5409250259399414</v>
      </c>
    </row>
    <row r="91" spans="1:58" x14ac:dyDescent="0.25">
      <c r="A91" s="69" t="s">
        <v>259</v>
      </c>
      <c r="B91" s="69" t="s">
        <v>260</v>
      </c>
      <c r="C91" s="70">
        <v>13</v>
      </c>
      <c r="D91" s="70">
        <v>4</v>
      </c>
      <c r="E91" s="70">
        <v>178</v>
      </c>
      <c r="F91" s="70">
        <v>76.470588684082031</v>
      </c>
      <c r="G91" s="70">
        <v>23.529411315917969</v>
      </c>
      <c r="H91" s="70">
        <v>128</v>
      </c>
      <c r="I91" s="70">
        <v>16</v>
      </c>
      <c r="J91" s="70">
        <v>15</v>
      </c>
      <c r="K91" s="70">
        <v>15</v>
      </c>
      <c r="L91" s="70">
        <v>14</v>
      </c>
      <c r="M91" s="70">
        <v>7</v>
      </c>
      <c r="N91" s="70">
        <v>68.085105895996094</v>
      </c>
      <c r="O91" s="70">
        <v>8.5106382369995117</v>
      </c>
      <c r="P91" s="70">
        <v>7.9787235260009766</v>
      </c>
      <c r="Q91" s="70">
        <v>7.9787235260009766</v>
      </c>
      <c r="R91" s="70">
        <v>7.4468083381652832</v>
      </c>
      <c r="S91" s="70">
        <v>31</v>
      </c>
      <c r="T91" s="70">
        <v>64</v>
      </c>
      <c r="U91" s="70">
        <v>48</v>
      </c>
      <c r="V91" s="70">
        <v>32</v>
      </c>
      <c r="W91" s="70">
        <v>20</v>
      </c>
      <c r="X91" s="70">
        <v>15.897436141967773</v>
      </c>
      <c r="Y91" s="70">
        <v>32.820514678955078</v>
      </c>
      <c r="Z91" s="70">
        <v>24.615385055541992</v>
      </c>
      <c r="AA91" s="70">
        <v>16.410257339477539</v>
      </c>
      <c r="AB91" s="70">
        <v>10.256410598754883</v>
      </c>
      <c r="AC91" s="70">
        <v>6</v>
      </c>
      <c r="AD91" s="70">
        <v>1</v>
      </c>
      <c r="AE91" s="70">
        <v>127</v>
      </c>
      <c r="AF91" s="70">
        <v>61</v>
      </c>
      <c r="AG91" s="70">
        <v>3.076923131942749</v>
      </c>
      <c r="AH91" s="70">
        <v>0.5128205418586731</v>
      </c>
      <c r="AI91" s="70">
        <v>65.128204345703125</v>
      </c>
      <c r="AJ91" s="70">
        <v>31.282051086425781</v>
      </c>
      <c r="AK91" s="70">
        <v>30</v>
      </c>
      <c r="AL91" s="70">
        <v>7</v>
      </c>
      <c r="AM91" s="70">
        <v>18</v>
      </c>
      <c r="AN91" s="70">
        <v>10</v>
      </c>
      <c r="AO91" s="70">
        <v>43</v>
      </c>
      <c r="AP91" s="70">
        <v>87</v>
      </c>
      <c r="AQ91" s="70">
        <v>27.777778625488281</v>
      </c>
      <c r="AR91" s="70">
        <v>6.4814815521240234</v>
      </c>
      <c r="AS91" s="70">
        <v>16.666666030883789</v>
      </c>
      <c r="AT91" s="70">
        <v>9.2592592239379883</v>
      </c>
      <c r="AU91" s="70">
        <v>39.814815521240234</v>
      </c>
      <c r="AV91" s="70">
        <v>24</v>
      </c>
      <c r="AW91" s="70">
        <v>14</v>
      </c>
      <c r="AX91" s="70">
        <v>4</v>
      </c>
      <c r="AY91" s="70">
        <v>3</v>
      </c>
      <c r="AZ91" s="70">
        <v>1</v>
      </c>
      <c r="BA91" s="70">
        <v>149</v>
      </c>
      <c r="BB91" s="70">
        <v>52.173912048339844</v>
      </c>
      <c r="BC91" s="70">
        <v>30.434782028198242</v>
      </c>
      <c r="BD91" s="70">
        <v>8.6956520080566406</v>
      </c>
      <c r="BE91" s="70">
        <v>6.5217390060424805</v>
      </c>
      <c r="BF91" s="70">
        <v>2.1739130020141602</v>
      </c>
    </row>
    <row r="92" spans="1:58" x14ac:dyDescent="0.25">
      <c r="A92" s="71" t="s">
        <v>261</v>
      </c>
      <c r="B92" s="71" t="s">
        <v>262</v>
      </c>
      <c r="C92" s="72">
        <v>85</v>
      </c>
      <c r="D92" s="72">
        <v>11</v>
      </c>
      <c r="E92" s="72">
        <v>270</v>
      </c>
      <c r="F92" s="72">
        <v>88.541664123535156</v>
      </c>
      <c r="G92" s="72">
        <v>11.458333015441895</v>
      </c>
      <c r="H92" s="72">
        <v>344</v>
      </c>
      <c r="I92" s="72">
        <v>5</v>
      </c>
      <c r="J92" s="72">
        <v>2</v>
      </c>
      <c r="K92" s="72">
        <v>2</v>
      </c>
      <c r="L92" s="72">
        <v>8</v>
      </c>
      <c r="M92" s="72">
        <v>5</v>
      </c>
      <c r="N92" s="72">
        <v>95.290855407714844</v>
      </c>
      <c r="O92" s="72">
        <v>1.3850415945053101</v>
      </c>
      <c r="P92" s="72">
        <v>0.55401664972305298</v>
      </c>
      <c r="Q92" s="72">
        <v>0.55401664972305298</v>
      </c>
      <c r="R92" s="72">
        <v>2.2160665988922119</v>
      </c>
      <c r="S92" s="72">
        <v>160</v>
      </c>
      <c r="T92" s="72">
        <v>67</v>
      </c>
      <c r="U92" s="72">
        <v>47</v>
      </c>
      <c r="V92" s="72">
        <v>48</v>
      </c>
      <c r="W92" s="72">
        <v>44</v>
      </c>
      <c r="X92" s="72">
        <v>43.715847015380859</v>
      </c>
      <c r="Y92" s="72">
        <v>18.306011199951172</v>
      </c>
      <c r="Z92" s="72">
        <v>12.841529846191406</v>
      </c>
      <c r="AA92" s="72">
        <v>13.114753723144531</v>
      </c>
      <c r="AB92" s="72">
        <v>12.021858215332031</v>
      </c>
      <c r="AC92" s="72">
        <v>26</v>
      </c>
      <c r="AD92" s="72">
        <v>14</v>
      </c>
      <c r="AE92" s="72">
        <v>202</v>
      </c>
      <c r="AF92" s="72">
        <v>124</v>
      </c>
      <c r="AG92" s="72">
        <v>7.1038250923156738</v>
      </c>
      <c r="AH92" s="72">
        <v>3.825136661529541</v>
      </c>
      <c r="AI92" s="72">
        <v>55.191257476806641</v>
      </c>
      <c r="AJ92" s="72">
        <v>33.879779815673828</v>
      </c>
      <c r="AK92" s="72">
        <v>107</v>
      </c>
      <c r="AL92" s="72">
        <v>24</v>
      </c>
      <c r="AM92" s="72">
        <v>51</v>
      </c>
      <c r="AN92" s="72">
        <v>23</v>
      </c>
      <c r="AO92" s="72">
        <v>125</v>
      </c>
      <c r="AP92" s="72">
        <v>36</v>
      </c>
      <c r="AQ92" s="72">
        <v>32.424243927001953</v>
      </c>
      <c r="AR92" s="72">
        <v>7.2727274894714355</v>
      </c>
      <c r="AS92" s="72">
        <v>15.454545021057129</v>
      </c>
      <c r="AT92" s="72">
        <v>6.9696969985961914</v>
      </c>
      <c r="AU92" s="72">
        <v>37.878787994384766</v>
      </c>
      <c r="AV92" s="72">
        <v>49</v>
      </c>
      <c r="AW92" s="72">
        <v>114</v>
      </c>
      <c r="AX92" s="72">
        <v>84</v>
      </c>
      <c r="AY92" s="72">
        <v>59</v>
      </c>
      <c r="AZ92" s="72">
        <v>9</v>
      </c>
      <c r="BA92" s="72">
        <v>51</v>
      </c>
      <c r="BB92" s="72">
        <v>15.55555534362793</v>
      </c>
      <c r="BC92" s="72">
        <v>36.190475463867188</v>
      </c>
      <c r="BD92" s="72">
        <v>26.666666030883789</v>
      </c>
      <c r="BE92" s="72">
        <v>18.730157852172852</v>
      </c>
      <c r="BF92" s="72">
        <v>2.8571429252624512</v>
      </c>
    </row>
    <row r="93" spans="1:58" x14ac:dyDescent="0.25">
      <c r="A93" s="69" t="s">
        <v>263</v>
      </c>
      <c r="B93" s="69" t="s">
        <v>264</v>
      </c>
      <c r="C93" s="70"/>
      <c r="D93" s="70"/>
      <c r="E93" s="70">
        <v>261</v>
      </c>
      <c r="F93" s="70"/>
      <c r="G93" s="70"/>
      <c r="H93" s="70">
        <v>238</v>
      </c>
      <c r="I93" s="70">
        <v>4</v>
      </c>
      <c r="J93" s="70">
        <v>3</v>
      </c>
      <c r="K93" s="70">
        <v>1</v>
      </c>
      <c r="L93" s="70">
        <v>3</v>
      </c>
      <c r="M93" s="70">
        <v>12</v>
      </c>
      <c r="N93" s="70">
        <v>95.582328796386719</v>
      </c>
      <c r="O93" s="70">
        <v>1.6064257621765137</v>
      </c>
      <c r="P93" s="70">
        <v>1.2048193216323853</v>
      </c>
      <c r="Q93" s="70">
        <v>0.40160644054412842</v>
      </c>
      <c r="R93" s="70">
        <v>1.2048193216323853</v>
      </c>
      <c r="S93" s="70">
        <v>18</v>
      </c>
      <c r="T93" s="70">
        <v>25</v>
      </c>
      <c r="U93" s="70">
        <v>75</v>
      </c>
      <c r="V93" s="70">
        <v>62</v>
      </c>
      <c r="W93" s="70">
        <v>81</v>
      </c>
      <c r="X93" s="70">
        <v>6.8965516090393066</v>
      </c>
      <c r="Y93" s="70">
        <v>9.5785436630249023</v>
      </c>
      <c r="Z93" s="70">
        <v>28.735631942749023</v>
      </c>
      <c r="AA93" s="70">
        <v>23.754789352416992</v>
      </c>
      <c r="AB93" s="70">
        <v>31.034482955932617</v>
      </c>
      <c r="AC93" s="70">
        <v>24</v>
      </c>
      <c r="AD93" s="70">
        <v>1</v>
      </c>
      <c r="AE93" s="70">
        <v>155</v>
      </c>
      <c r="AF93" s="70">
        <v>81</v>
      </c>
      <c r="AG93" s="70">
        <v>9.1954021453857422</v>
      </c>
      <c r="AH93" s="70">
        <v>0.38314175605773926</v>
      </c>
      <c r="AI93" s="70">
        <v>59.386974334716797</v>
      </c>
      <c r="AJ93" s="70">
        <v>31.034482955932617</v>
      </c>
      <c r="AK93" s="70">
        <v>48</v>
      </c>
      <c r="AL93" s="70">
        <v>13</v>
      </c>
      <c r="AM93" s="70">
        <v>31</v>
      </c>
      <c r="AN93" s="70">
        <v>25</v>
      </c>
      <c r="AO93" s="70">
        <v>134</v>
      </c>
      <c r="AP93" s="70">
        <v>10</v>
      </c>
      <c r="AQ93" s="70">
        <v>19.123506546020508</v>
      </c>
      <c r="AR93" s="70">
        <v>5.1792826652526855</v>
      </c>
      <c r="AS93" s="70">
        <v>12.350597381591797</v>
      </c>
      <c r="AT93" s="70">
        <v>9.9601593017578125</v>
      </c>
      <c r="AU93" s="70">
        <v>53.386455535888672</v>
      </c>
      <c r="AV93" s="70">
        <v>46</v>
      </c>
      <c r="AW93" s="70">
        <v>84</v>
      </c>
      <c r="AX93" s="70">
        <v>64</v>
      </c>
      <c r="AY93" s="70">
        <v>50</v>
      </c>
      <c r="AZ93" s="70">
        <v>6</v>
      </c>
      <c r="BA93" s="70">
        <v>11</v>
      </c>
      <c r="BB93" s="70">
        <v>18.399999618530273</v>
      </c>
      <c r="BC93" s="70">
        <v>33.599998474121094</v>
      </c>
      <c r="BD93" s="70">
        <v>25.600000381469727</v>
      </c>
      <c r="BE93" s="70">
        <v>20</v>
      </c>
      <c r="BF93" s="70">
        <v>2.4000000953674316</v>
      </c>
    </row>
    <row r="94" spans="1:58" x14ac:dyDescent="0.25">
      <c r="A94" s="71" t="s">
        <v>265</v>
      </c>
      <c r="B94" s="71" t="s">
        <v>266</v>
      </c>
      <c r="C94" s="72">
        <v>149</v>
      </c>
      <c r="D94" s="72">
        <v>10</v>
      </c>
      <c r="E94" s="72">
        <v>187</v>
      </c>
      <c r="F94" s="72">
        <v>93.710693359375</v>
      </c>
      <c r="G94" s="72">
        <v>6.2893080711364746</v>
      </c>
      <c r="H94" s="72">
        <v>319</v>
      </c>
      <c r="I94" s="72">
        <v>5</v>
      </c>
      <c r="J94" s="72">
        <v>1</v>
      </c>
      <c r="K94" s="72">
        <v>4</v>
      </c>
      <c r="L94" s="72">
        <v>2</v>
      </c>
      <c r="M94" s="72">
        <v>15</v>
      </c>
      <c r="N94" s="72">
        <v>96.374626159667969</v>
      </c>
      <c r="O94" s="72">
        <v>1.5105739831924438</v>
      </c>
      <c r="P94" s="72">
        <v>0.3021148145198822</v>
      </c>
      <c r="Q94" s="72">
        <v>1.2084592580795288</v>
      </c>
      <c r="R94" s="72">
        <v>0.6042296290397644</v>
      </c>
      <c r="S94" s="72">
        <v>98</v>
      </c>
      <c r="T94" s="72">
        <v>90</v>
      </c>
      <c r="U94" s="72">
        <v>62</v>
      </c>
      <c r="V94" s="72">
        <v>46</v>
      </c>
      <c r="W94" s="72">
        <v>50</v>
      </c>
      <c r="X94" s="72">
        <v>28.323699951171875</v>
      </c>
      <c r="Y94" s="72">
        <v>26.011560440063477</v>
      </c>
      <c r="Z94" s="72">
        <v>17.919075012207031</v>
      </c>
      <c r="AA94" s="72">
        <v>13.294797897338867</v>
      </c>
      <c r="AB94" s="72">
        <v>14.45086669921875</v>
      </c>
      <c r="AC94" s="72">
        <v>19</v>
      </c>
      <c r="AD94" s="72">
        <v>7</v>
      </c>
      <c r="AE94" s="72">
        <v>193</v>
      </c>
      <c r="AF94" s="72">
        <v>127</v>
      </c>
      <c r="AG94" s="72">
        <v>5.4913296699523926</v>
      </c>
      <c r="AH94" s="72">
        <v>2.0231213569641113</v>
      </c>
      <c r="AI94" s="72">
        <v>55.780345916748047</v>
      </c>
      <c r="AJ94" s="72">
        <v>36.705204010009766</v>
      </c>
      <c r="AK94" s="72">
        <v>53</v>
      </c>
      <c r="AL94" s="72">
        <v>17</v>
      </c>
      <c r="AM94" s="72">
        <v>31</v>
      </c>
      <c r="AN94" s="72">
        <v>30</v>
      </c>
      <c r="AO94" s="72">
        <v>140</v>
      </c>
      <c r="AP94" s="72">
        <v>75</v>
      </c>
      <c r="AQ94" s="72">
        <v>19.557195663452148</v>
      </c>
      <c r="AR94" s="72">
        <v>6.2730627059936523</v>
      </c>
      <c r="AS94" s="72">
        <v>11.439114570617676</v>
      </c>
      <c r="AT94" s="72">
        <v>11.070110321044922</v>
      </c>
      <c r="AU94" s="72">
        <v>51.660514831542969</v>
      </c>
      <c r="AV94" s="72">
        <v>33</v>
      </c>
      <c r="AW94" s="72">
        <v>81</v>
      </c>
      <c r="AX94" s="72">
        <v>39</v>
      </c>
      <c r="AY94" s="72">
        <v>38</v>
      </c>
      <c r="AZ94" s="72">
        <v>11</v>
      </c>
      <c r="BA94" s="72">
        <v>144</v>
      </c>
      <c r="BB94" s="72">
        <v>16.336633682250977</v>
      </c>
      <c r="BC94" s="72">
        <v>40.099010467529297</v>
      </c>
      <c r="BD94" s="72">
        <v>19.306930541992188</v>
      </c>
      <c r="BE94" s="72">
        <v>18.811882019042969</v>
      </c>
      <c r="BF94" s="72">
        <v>5.4455447196960449</v>
      </c>
    </row>
    <row r="95" spans="1:58" x14ac:dyDescent="0.25">
      <c r="A95" s="69" t="s">
        <v>267</v>
      </c>
      <c r="B95" s="69" t="s">
        <v>268</v>
      </c>
      <c r="C95" s="70">
        <v>329</v>
      </c>
      <c r="D95" s="70">
        <v>21</v>
      </c>
      <c r="E95" s="70">
        <v>33</v>
      </c>
      <c r="F95" s="70">
        <v>94</v>
      </c>
      <c r="G95" s="70">
        <v>6</v>
      </c>
      <c r="H95" s="70">
        <v>312</v>
      </c>
      <c r="I95" s="70">
        <v>24</v>
      </c>
      <c r="J95" s="70">
        <v>13</v>
      </c>
      <c r="K95" s="70">
        <v>10</v>
      </c>
      <c r="L95" s="70">
        <v>6</v>
      </c>
      <c r="M95" s="70">
        <v>18</v>
      </c>
      <c r="N95" s="70">
        <v>85.479454040527344</v>
      </c>
      <c r="O95" s="70">
        <v>6.5753426551818848</v>
      </c>
      <c r="P95" s="70">
        <v>3.5616438388824463</v>
      </c>
      <c r="Q95" s="70">
        <v>2.7397260665893555</v>
      </c>
      <c r="R95" s="70">
        <v>1.6438356637954712</v>
      </c>
      <c r="S95" s="70">
        <v>78</v>
      </c>
      <c r="T95" s="70">
        <v>56</v>
      </c>
      <c r="U95" s="70">
        <v>87</v>
      </c>
      <c r="V95" s="70">
        <v>85</v>
      </c>
      <c r="W95" s="70">
        <v>77</v>
      </c>
      <c r="X95" s="70">
        <v>20.365535736083984</v>
      </c>
      <c r="Y95" s="70">
        <v>14.621410369873047</v>
      </c>
      <c r="Z95" s="70">
        <v>22.715404510498047</v>
      </c>
      <c r="AA95" s="70">
        <v>22.193210601806641</v>
      </c>
      <c r="AB95" s="70">
        <v>20.104438781738281</v>
      </c>
      <c r="AC95" s="70">
        <v>39</v>
      </c>
      <c r="AD95" s="70">
        <v>1</v>
      </c>
      <c r="AE95" s="70">
        <v>184</v>
      </c>
      <c r="AF95" s="70">
        <v>159</v>
      </c>
      <c r="AG95" s="70">
        <v>10.182767868041992</v>
      </c>
      <c r="AH95" s="70">
        <v>0.26109659671783447</v>
      </c>
      <c r="AI95" s="70">
        <v>48.041774749755859</v>
      </c>
      <c r="AJ95" s="70">
        <v>41.514358520507813</v>
      </c>
      <c r="AK95" s="70">
        <v>58</v>
      </c>
      <c r="AL95" s="70">
        <v>27</v>
      </c>
      <c r="AM95" s="70">
        <v>51</v>
      </c>
      <c r="AN95" s="70">
        <v>33</v>
      </c>
      <c r="AO95" s="70">
        <v>202</v>
      </c>
      <c r="AP95" s="70">
        <v>12</v>
      </c>
      <c r="AQ95" s="70">
        <v>15.6334228515625</v>
      </c>
      <c r="AR95" s="70">
        <v>7.2776279449462891</v>
      </c>
      <c r="AS95" s="70">
        <v>13.746630668640137</v>
      </c>
      <c r="AT95" s="70">
        <v>8.8948783874511719</v>
      </c>
      <c r="AU95" s="70">
        <v>54.447441101074219</v>
      </c>
      <c r="AV95" s="70">
        <v>48</v>
      </c>
      <c r="AW95" s="70">
        <v>138</v>
      </c>
      <c r="AX95" s="70">
        <v>71</v>
      </c>
      <c r="AY95" s="70">
        <v>76</v>
      </c>
      <c r="AZ95" s="70">
        <v>35</v>
      </c>
      <c r="BA95" s="70">
        <v>15</v>
      </c>
      <c r="BB95" s="70">
        <v>13.043478012084961</v>
      </c>
      <c r="BC95" s="70">
        <v>37.5</v>
      </c>
      <c r="BD95" s="70">
        <v>19.293478012084961</v>
      </c>
      <c r="BE95" s="70">
        <v>20.65217399597168</v>
      </c>
      <c r="BF95" s="70">
        <v>9.5108699798583984</v>
      </c>
    </row>
    <row r="96" spans="1:58" x14ac:dyDescent="0.25">
      <c r="A96" s="71" t="s">
        <v>269</v>
      </c>
      <c r="B96" s="71" t="s">
        <v>270</v>
      </c>
      <c r="C96" s="72">
        <v>160</v>
      </c>
      <c r="D96" s="72">
        <v>16</v>
      </c>
      <c r="E96" s="72">
        <v>223</v>
      </c>
      <c r="F96" s="72">
        <v>90.909088134765625</v>
      </c>
      <c r="G96" s="72">
        <v>9.0909090042114258</v>
      </c>
      <c r="H96" s="72">
        <v>302</v>
      </c>
      <c r="I96" s="72">
        <v>15</v>
      </c>
      <c r="J96" s="72">
        <v>18</v>
      </c>
      <c r="K96" s="72">
        <v>10</v>
      </c>
      <c r="L96" s="72">
        <v>26</v>
      </c>
      <c r="M96" s="72">
        <v>28</v>
      </c>
      <c r="N96" s="72">
        <v>81.401618957519531</v>
      </c>
      <c r="O96" s="72">
        <v>4.0431265830993652</v>
      </c>
      <c r="P96" s="72">
        <v>4.8517518043518066</v>
      </c>
      <c r="Q96" s="72">
        <v>2.6954178810119629</v>
      </c>
      <c r="R96" s="72">
        <v>7.0080862045288086</v>
      </c>
      <c r="S96" s="72">
        <v>14</v>
      </c>
      <c r="T96" s="72">
        <v>40</v>
      </c>
      <c r="U96" s="72">
        <v>60</v>
      </c>
      <c r="V96" s="72">
        <v>118</v>
      </c>
      <c r="W96" s="72">
        <v>167</v>
      </c>
      <c r="X96" s="72">
        <v>3.5087718963623047</v>
      </c>
      <c r="Y96" s="72">
        <v>10.025062561035156</v>
      </c>
      <c r="Z96" s="72">
        <v>15.037593841552734</v>
      </c>
      <c r="AA96" s="72">
        <v>29.573934555053711</v>
      </c>
      <c r="AB96" s="72">
        <v>41.854637145996094</v>
      </c>
      <c r="AC96" s="72">
        <v>32</v>
      </c>
      <c r="AD96" s="72">
        <v>11</v>
      </c>
      <c r="AE96" s="72">
        <v>306</v>
      </c>
      <c r="AF96" s="72">
        <v>50</v>
      </c>
      <c r="AG96" s="72">
        <v>8.020050048828125</v>
      </c>
      <c r="AH96" s="72">
        <v>2.756892204284668</v>
      </c>
      <c r="AI96" s="72">
        <v>76.691726684570313</v>
      </c>
      <c r="AJ96" s="72">
        <v>12.531328201293945</v>
      </c>
      <c r="AK96" s="72">
        <v>111</v>
      </c>
      <c r="AL96" s="72">
        <v>28</v>
      </c>
      <c r="AM96" s="72">
        <v>47</v>
      </c>
      <c r="AN96" s="72">
        <v>31</v>
      </c>
      <c r="AO96" s="72">
        <v>145</v>
      </c>
      <c r="AP96" s="72">
        <v>37</v>
      </c>
      <c r="AQ96" s="72">
        <v>30.662982940673828</v>
      </c>
      <c r="AR96" s="72">
        <v>7.7348065376281738</v>
      </c>
      <c r="AS96" s="72">
        <v>12.983425140380859</v>
      </c>
      <c r="AT96" s="72">
        <v>8.5635356903076172</v>
      </c>
      <c r="AU96" s="72">
        <v>40.055248260498047</v>
      </c>
      <c r="AV96" s="72">
        <v>97</v>
      </c>
      <c r="AW96" s="72">
        <v>119</v>
      </c>
      <c r="AX96" s="72">
        <v>68</v>
      </c>
      <c r="AY96" s="72">
        <v>66</v>
      </c>
      <c r="AZ96" s="72">
        <v>12</v>
      </c>
      <c r="BA96" s="72">
        <v>37</v>
      </c>
      <c r="BB96" s="72">
        <v>26.79557991027832</v>
      </c>
      <c r="BC96" s="72">
        <v>32.872928619384766</v>
      </c>
      <c r="BD96" s="72">
        <v>18.784530639648438</v>
      </c>
      <c r="BE96" s="72">
        <v>18.232044219970703</v>
      </c>
      <c r="BF96" s="72">
        <v>3.3149170875549316</v>
      </c>
    </row>
    <row r="97" spans="1:58" x14ac:dyDescent="0.25">
      <c r="A97" s="69" t="s">
        <v>271</v>
      </c>
      <c r="B97" s="69" t="s">
        <v>272</v>
      </c>
      <c r="C97" s="70">
        <v>6</v>
      </c>
      <c r="D97" s="70"/>
      <c r="E97" s="70">
        <v>161</v>
      </c>
      <c r="F97" s="70"/>
      <c r="G97" s="70"/>
      <c r="H97" s="70">
        <v>131</v>
      </c>
      <c r="I97" s="70">
        <v>8</v>
      </c>
      <c r="J97" s="70">
        <v>10</v>
      </c>
      <c r="K97" s="70"/>
      <c r="L97" s="70">
        <v>8</v>
      </c>
      <c r="M97" s="70">
        <v>10</v>
      </c>
      <c r="N97" s="70">
        <v>83.439491271972656</v>
      </c>
      <c r="O97" s="70">
        <v>5.0955414772033691</v>
      </c>
      <c r="P97" s="70">
        <v>6.3694267272949219</v>
      </c>
      <c r="Q97" s="70"/>
      <c r="R97" s="70">
        <v>5.0955414772033691</v>
      </c>
      <c r="S97" s="70">
        <v>1</v>
      </c>
      <c r="T97" s="70">
        <v>22</v>
      </c>
      <c r="U97" s="70">
        <v>40</v>
      </c>
      <c r="V97" s="70">
        <v>42</v>
      </c>
      <c r="W97" s="70">
        <v>62</v>
      </c>
      <c r="X97" s="70">
        <v>0.59880238771438599</v>
      </c>
      <c r="Y97" s="70">
        <v>13.173652648925781</v>
      </c>
      <c r="Z97" s="70">
        <v>23.952095031738281</v>
      </c>
      <c r="AA97" s="70">
        <v>25.149700164794922</v>
      </c>
      <c r="AB97" s="70">
        <v>37.125747680664063</v>
      </c>
      <c r="AC97" s="70">
        <v>12</v>
      </c>
      <c r="AD97" s="70"/>
      <c r="AE97" s="70">
        <v>75</v>
      </c>
      <c r="AF97" s="70">
        <v>80</v>
      </c>
      <c r="AG97" s="70">
        <v>7.1856288909912109</v>
      </c>
      <c r="AH97" s="70"/>
      <c r="AI97" s="70">
        <v>44.910179138183594</v>
      </c>
      <c r="AJ97" s="70">
        <v>47.904190063476563</v>
      </c>
      <c r="AK97" s="70">
        <v>19</v>
      </c>
      <c r="AL97" s="70">
        <v>7</v>
      </c>
      <c r="AM97" s="70">
        <v>15</v>
      </c>
      <c r="AN97" s="70">
        <v>11</v>
      </c>
      <c r="AO97" s="70">
        <v>56</v>
      </c>
      <c r="AP97" s="70">
        <v>59</v>
      </c>
      <c r="AQ97" s="70">
        <v>17.592592239379883</v>
      </c>
      <c r="AR97" s="70">
        <v>6.4814815521240234</v>
      </c>
      <c r="AS97" s="70">
        <v>13.888889312744141</v>
      </c>
      <c r="AT97" s="70">
        <v>10.185185432434082</v>
      </c>
      <c r="AU97" s="70">
        <v>51.851852416992188</v>
      </c>
      <c r="AV97" s="70">
        <v>40</v>
      </c>
      <c r="AW97" s="70">
        <v>55</v>
      </c>
      <c r="AX97" s="70">
        <v>23</v>
      </c>
      <c r="AY97" s="70">
        <v>15</v>
      </c>
      <c r="AZ97" s="70">
        <v>2</v>
      </c>
      <c r="BA97" s="70">
        <v>32</v>
      </c>
      <c r="BB97" s="70">
        <v>29.629629135131836</v>
      </c>
      <c r="BC97" s="70">
        <v>40.740741729736328</v>
      </c>
      <c r="BD97" s="70">
        <v>17.037036895751953</v>
      </c>
      <c r="BE97" s="70">
        <v>11.111110687255859</v>
      </c>
      <c r="BF97" s="70">
        <v>1.4814814329147339</v>
      </c>
    </row>
    <row r="98" spans="1:58" x14ac:dyDescent="0.25">
      <c r="A98" s="71" t="s">
        <v>273</v>
      </c>
      <c r="B98" s="71" t="s">
        <v>274</v>
      </c>
      <c r="C98" s="72">
        <v>132</v>
      </c>
      <c r="D98" s="72">
        <v>18</v>
      </c>
      <c r="E98" s="72">
        <v>34</v>
      </c>
      <c r="F98" s="72">
        <v>88</v>
      </c>
      <c r="G98" s="72">
        <v>12</v>
      </c>
      <c r="H98" s="72">
        <v>144</v>
      </c>
      <c r="I98" s="72">
        <v>11</v>
      </c>
      <c r="J98" s="72">
        <v>6</v>
      </c>
      <c r="K98" s="72">
        <v>4</v>
      </c>
      <c r="L98" s="72">
        <v>5</v>
      </c>
      <c r="M98" s="72">
        <v>14</v>
      </c>
      <c r="N98" s="72">
        <v>84.705879211425781</v>
      </c>
      <c r="O98" s="72">
        <v>6.470588207244873</v>
      </c>
      <c r="P98" s="72">
        <v>3.529411792755127</v>
      </c>
      <c r="Q98" s="72">
        <v>2.3529412746429443</v>
      </c>
      <c r="R98" s="72">
        <v>2.9411764144897461</v>
      </c>
      <c r="S98" s="72">
        <v>4</v>
      </c>
      <c r="T98" s="72">
        <v>37</v>
      </c>
      <c r="U98" s="72">
        <v>55</v>
      </c>
      <c r="V98" s="72">
        <v>41</v>
      </c>
      <c r="W98" s="72">
        <v>47</v>
      </c>
      <c r="X98" s="72">
        <v>2.1739130020141602</v>
      </c>
      <c r="Y98" s="72">
        <v>20.108695983886719</v>
      </c>
      <c r="Z98" s="72">
        <v>29.891304016113281</v>
      </c>
      <c r="AA98" s="72">
        <v>22.282608032226563</v>
      </c>
      <c r="AB98" s="72">
        <v>25.543478012084961</v>
      </c>
      <c r="AC98" s="72">
        <v>13</v>
      </c>
      <c r="AD98" s="72">
        <v>4</v>
      </c>
      <c r="AE98" s="72">
        <v>114</v>
      </c>
      <c r="AF98" s="72">
        <v>53</v>
      </c>
      <c r="AG98" s="72">
        <v>7.0652174949645996</v>
      </c>
      <c r="AH98" s="72">
        <v>2.1739130020141602</v>
      </c>
      <c r="AI98" s="72">
        <v>61.956520080566406</v>
      </c>
      <c r="AJ98" s="72">
        <v>28.804347991943359</v>
      </c>
      <c r="AK98" s="72">
        <v>38</v>
      </c>
      <c r="AL98" s="72">
        <v>18</v>
      </c>
      <c r="AM98" s="72">
        <v>34</v>
      </c>
      <c r="AN98" s="72">
        <v>14</v>
      </c>
      <c r="AO98" s="72">
        <v>78</v>
      </c>
      <c r="AP98" s="72">
        <v>2</v>
      </c>
      <c r="AQ98" s="72">
        <v>20.879121780395508</v>
      </c>
      <c r="AR98" s="72">
        <v>9.8901100158691406</v>
      </c>
      <c r="AS98" s="72">
        <v>18.681318283081055</v>
      </c>
      <c r="AT98" s="72">
        <v>7.6923074722290039</v>
      </c>
      <c r="AU98" s="72">
        <v>42.857143402099609</v>
      </c>
      <c r="AV98" s="72">
        <v>19</v>
      </c>
      <c r="AW98" s="72">
        <v>83</v>
      </c>
      <c r="AX98" s="72">
        <v>38</v>
      </c>
      <c r="AY98" s="72">
        <v>31</v>
      </c>
      <c r="AZ98" s="72">
        <v>9</v>
      </c>
      <c r="BA98" s="72">
        <v>4</v>
      </c>
      <c r="BB98" s="72">
        <v>10.55555534362793</v>
      </c>
      <c r="BC98" s="72">
        <v>46.111110687255859</v>
      </c>
      <c r="BD98" s="72">
        <v>21.111110687255859</v>
      </c>
      <c r="BE98" s="72">
        <v>17.222221374511719</v>
      </c>
      <c r="BF98" s="72">
        <v>5</v>
      </c>
    </row>
    <row r="99" spans="1:58" x14ac:dyDescent="0.25">
      <c r="A99" s="69" t="s">
        <v>275</v>
      </c>
      <c r="B99" s="69" t="s">
        <v>276</v>
      </c>
      <c r="C99" s="70">
        <v>18</v>
      </c>
      <c r="D99" s="70">
        <v>3</v>
      </c>
      <c r="E99" s="70">
        <v>289</v>
      </c>
      <c r="F99" s="70">
        <v>85.714286804199219</v>
      </c>
      <c r="G99" s="70">
        <v>14.285714149475098</v>
      </c>
      <c r="H99" s="70">
        <v>293</v>
      </c>
      <c r="I99" s="70">
        <v>1</v>
      </c>
      <c r="J99" s="70">
        <v>6</v>
      </c>
      <c r="K99" s="70">
        <v>3</v>
      </c>
      <c r="L99" s="70">
        <v>2</v>
      </c>
      <c r="M99" s="70">
        <v>5</v>
      </c>
      <c r="N99" s="70">
        <v>96.065574645996094</v>
      </c>
      <c r="O99" s="70">
        <v>0.32786884903907776</v>
      </c>
      <c r="P99" s="70">
        <v>1.9672131538391113</v>
      </c>
      <c r="Q99" s="70">
        <v>0.98360657691955566</v>
      </c>
      <c r="R99" s="70">
        <v>0.65573769807815552</v>
      </c>
      <c r="S99" s="70">
        <v>131</v>
      </c>
      <c r="T99" s="70">
        <v>49</v>
      </c>
      <c r="U99" s="70">
        <v>48</v>
      </c>
      <c r="V99" s="70">
        <v>54</v>
      </c>
      <c r="W99" s="70">
        <v>28</v>
      </c>
      <c r="X99" s="70">
        <v>42.258064270019531</v>
      </c>
      <c r="Y99" s="70">
        <v>15.806451797485352</v>
      </c>
      <c r="Z99" s="70">
        <v>15.483870506286621</v>
      </c>
      <c r="AA99" s="70">
        <v>17.419355392456055</v>
      </c>
      <c r="AB99" s="70">
        <v>9.0322580337524414</v>
      </c>
      <c r="AC99" s="70">
        <v>24</v>
      </c>
      <c r="AD99" s="70">
        <v>6</v>
      </c>
      <c r="AE99" s="70">
        <v>186</v>
      </c>
      <c r="AF99" s="70">
        <v>94</v>
      </c>
      <c r="AG99" s="70">
        <v>7.7419352531433105</v>
      </c>
      <c r="AH99" s="70">
        <v>1.9354838132858276</v>
      </c>
      <c r="AI99" s="70">
        <v>60</v>
      </c>
      <c r="AJ99" s="70">
        <v>30.322580337524414</v>
      </c>
      <c r="AK99" s="70">
        <v>74</v>
      </c>
      <c r="AL99" s="70">
        <v>14</v>
      </c>
      <c r="AM99" s="70">
        <v>29</v>
      </c>
      <c r="AN99" s="70">
        <v>17</v>
      </c>
      <c r="AO99" s="70">
        <v>100</v>
      </c>
      <c r="AP99" s="70">
        <v>76</v>
      </c>
      <c r="AQ99" s="70">
        <v>31.623931884765625</v>
      </c>
      <c r="AR99" s="70">
        <v>5.9829058647155762</v>
      </c>
      <c r="AS99" s="70">
        <v>12.393162727355957</v>
      </c>
      <c r="AT99" s="70">
        <v>7.2649574279785156</v>
      </c>
      <c r="AU99" s="70">
        <v>42.735042572021484</v>
      </c>
      <c r="AV99" s="70">
        <v>47</v>
      </c>
      <c r="AW99" s="70">
        <v>98</v>
      </c>
      <c r="AX99" s="70">
        <v>75</v>
      </c>
      <c r="AY99" s="70">
        <v>60</v>
      </c>
      <c r="AZ99" s="70">
        <v>6</v>
      </c>
      <c r="BA99" s="70">
        <v>24</v>
      </c>
      <c r="BB99" s="70">
        <v>16.433567047119141</v>
      </c>
      <c r="BC99" s="70">
        <v>34.265735626220703</v>
      </c>
      <c r="BD99" s="70">
        <v>26.223775863647461</v>
      </c>
      <c r="BE99" s="70">
        <v>20.979021072387695</v>
      </c>
      <c r="BF99" s="70">
        <v>2.0979020595550537</v>
      </c>
    </row>
    <row r="100" spans="1:58" x14ac:dyDescent="0.25">
      <c r="A100" s="71" t="s">
        <v>277</v>
      </c>
      <c r="B100" s="71" t="s">
        <v>278</v>
      </c>
      <c r="C100" s="72">
        <v>117</v>
      </c>
      <c r="D100" s="72">
        <v>13</v>
      </c>
      <c r="E100" s="72">
        <v>112</v>
      </c>
      <c r="F100" s="72">
        <v>90</v>
      </c>
      <c r="G100" s="72">
        <v>10</v>
      </c>
      <c r="H100" s="72">
        <v>205</v>
      </c>
      <c r="I100" s="72">
        <v>13</v>
      </c>
      <c r="J100" s="72">
        <v>7</v>
      </c>
      <c r="K100" s="72"/>
      <c r="L100" s="72">
        <v>7</v>
      </c>
      <c r="M100" s="72">
        <v>10</v>
      </c>
      <c r="N100" s="72">
        <v>88.362068176269531</v>
      </c>
      <c r="O100" s="72">
        <v>5.6034483909606934</v>
      </c>
      <c r="P100" s="72">
        <v>3.0172414779663086</v>
      </c>
      <c r="Q100" s="72"/>
      <c r="R100" s="72">
        <v>3.0172414779663086</v>
      </c>
      <c r="S100" s="72">
        <v>65</v>
      </c>
      <c r="T100" s="72">
        <v>43</v>
      </c>
      <c r="U100" s="72">
        <v>53</v>
      </c>
      <c r="V100" s="72">
        <v>49</v>
      </c>
      <c r="W100" s="72">
        <v>32</v>
      </c>
      <c r="X100" s="72">
        <v>26.859504699707031</v>
      </c>
      <c r="Y100" s="72">
        <v>17.768594741821289</v>
      </c>
      <c r="Z100" s="72">
        <v>21.900825500488281</v>
      </c>
      <c r="AA100" s="72">
        <v>20.247934341430664</v>
      </c>
      <c r="AB100" s="72">
        <v>13.223140716552734</v>
      </c>
      <c r="AC100" s="72">
        <v>26</v>
      </c>
      <c r="AD100" s="72">
        <v>4</v>
      </c>
      <c r="AE100" s="72">
        <v>129</v>
      </c>
      <c r="AF100" s="72">
        <v>83</v>
      </c>
      <c r="AG100" s="72">
        <v>10.743802070617676</v>
      </c>
      <c r="AH100" s="72">
        <v>1.6528925895690918</v>
      </c>
      <c r="AI100" s="72">
        <v>53.3057861328125</v>
      </c>
      <c r="AJ100" s="72">
        <v>34.297519683837891</v>
      </c>
      <c r="AK100" s="72">
        <v>42</v>
      </c>
      <c r="AL100" s="72">
        <v>13</v>
      </c>
      <c r="AM100" s="72">
        <v>29</v>
      </c>
      <c r="AN100" s="72">
        <v>19</v>
      </c>
      <c r="AO100" s="72">
        <v>123</v>
      </c>
      <c r="AP100" s="72">
        <v>16</v>
      </c>
      <c r="AQ100" s="72">
        <v>18.584070205688477</v>
      </c>
      <c r="AR100" s="72">
        <v>5.7522125244140625</v>
      </c>
      <c r="AS100" s="72">
        <v>12.83185863494873</v>
      </c>
      <c r="AT100" s="72">
        <v>8.4070796966552734</v>
      </c>
      <c r="AU100" s="72">
        <v>54.424777984619141</v>
      </c>
      <c r="AV100" s="72">
        <v>59</v>
      </c>
      <c r="AW100" s="72">
        <v>74</v>
      </c>
      <c r="AX100" s="72">
        <v>46</v>
      </c>
      <c r="AY100" s="72">
        <v>42</v>
      </c>
      <c r="AZ100" s="72">
        <v>16</v>
      </c>
      <c r="BA100" s="72">
        <v>5</v>
      </c>
      <c r="BB100" s="72">
        <v>24.894514083862305</v>
      </c>
      <c r="BC100" s="72">
        <v>31.223628997802734</v>
      </c>
      <c r="BD100" s="72">
        <v>19.409282684326172</v>
      </c>
      <c r="BE100" s="72">
        <v>17.721519470214844</v>
      </c>
      <c r="BF100" s="72">
        <v>6.7510547637939453</v>
      </c>
    </row>
    <row r="101" spans="1:58" x14ac:dyDescent="0.25">
      <c r="A101" s="69" t="s">
        <v>279</v>
      </c>
      <c r="B101" s="69" t="s">
        <v>280</v>
      </c>
      <c r="C101" s="70">
        <v>81</v>
      </c>
      <c r="D101" s="70">
        <v>7</v>
      </c>
      <c r="E101" s="70">
        <v>205</v>
      </c>
      <c r="F101" s="70">
        <v>92.045455932617188</v>
      </c>
      <c r="G101" s="70">
        <v>7.9545454978942871</v>
      </c>
      <c r="H101" s="70">
        <v>247</v>
      </c>
      <c r="I101" s="70">
        <v>11</v>
      </c>
      <c r="J101" s="70">
        <v>10</v>
      </c>
      <c r="K101" s="70">
        <v>6</v>
      </c>
      <c r="L101" s="70">
        <v>2</v>
      </c>
      <c r="M101" s="70">
        <v>17</v>
      </c>
      <c r="N101" s="70">
        <v>89.492752075195313</v>
      </c>
      <c r="O101" s="70">
        <v>3.9855072498321533</v>
      </c>
      <c r="P101" s="70">
        <v>3.6231884956359863</v>
      </c>
      <c r="Q101" s="70">
        <v>2.1739130020141602</v>
      </c>
      <c r="R101" s="70">
        <v>0.72463768720626831</v>
      </c>
      <c r="S101" s="70">
        <v>41</v>
      </c>
      <c r="T101" s="70">
        <v>58</v>
      </c>
      <c r="U101" s="70">
        <v>65</v>
      </c>
      <c r="V101" s="70">
        <v>59</v>
      </c>
      <c r="W101" s="70">
        <v>70</v>
      </c>
      <c r="X101" s="70">
        <v>13.993173599243164</v>
      </c>
      <c r="Y101" s="70">
        <v>19.795221328735352</v>
      </c>
      <c r="Z101" s="70">
        <v>22.184299468994141</v>
      </c>
      <c r="AA101" s="70">
        <v>20.136518478393555</v>
      </c>
      <c r="AB101" s="70">
        <v>23.890785217285156</v>
      </c>
      <c r="AC101" s="70">
        <v>20</v>
      </c>
      <c r="AD101" s="70">
        <v>1</v>
      </c>
      <c r="AE101" s="70">
        <v>131</v>
      </c>
      <c r="AF101" s="70">
        <v>141</v>
      </c>
      <c r="AG101" s="70">
        <v>6.8259387016296387</v>
      </c>
      <c r="AH101" s="70">
        <v>0.34129694104194641</v>
      </c>
      <c r="AI101" s="70">
        <v>44.709896087646484</v>
      </c>
      <c r="AJ101" s="70">
        <v>48.122867584228516</v>
      </c>
      <c r="AK101" s="70">
        <v>46</v>
      </c>
      <c r="AL101" s="70">
        <v>14</v>
      </c>
      <c r="AM101" s="70">
        <v>32</v>
      </c>
      <c r="AN101" s="70">
        <v>22</v>
      </c>
      <c r="AO101" s="70">
        <v>130</v>
      </c>
      <c r="AP101" s="70">
        <v>49</v>
      </c>
      <c r="AQ101" s="70">
        <v>18.852458953857422</v>
      </c>
      <c r="AR101" s="70">
        <v>5.7377047538757324</v>
      </c>
      <c r="AS101" s="70">
        <v>13.114753723144531</v>
      </c>
      <c r="AT101" s="70">
        <v>9.0163936614990234</v>
      </c>
      <c r="AU101" s="70">
        <v>53.278690338134766</v>
      </c>
      <c r="AV101" s="70">
        <v>61</v>
      </c>
      <c r="AW101" s="70">
        <v>68</v>
      </c>
      <c r="AX101" s="70">
        <v>65</v>
      </c>
      <c r="AY101" s="70">
        <v>45</v>
      </c>
      <c r="AZ101" s="70">
        <v>9</v>
      </c>
      <c r="BA101" s="70">
        <v>45</v>
      </c>
      <c r="BB101" s="70">
        <v>24.596775054931641</v>
      </c>
      <c r="BC101" s="70">
        <v>27.419355392456055</v>
      </c>
      <c r="BD101" s="70">
        <v>26.209676742553711</v>
      </c>
      <c r="BE101" s="70">
        <v>18.145160675048828</v>
      </c>
      <c r="BF101" s="70">
        <v>3.6290323734283447</v>
      </c>
    </row>
    <row r="102" spans="1:58" x14ac:dyDescent="0.25">
      <c r="A102" s="71" t="s">
        <v>281</v>
      </c>
      <c r="B102" s="71" t="s">
        <v>282</v>
      </c>
      <c r="C102" s="72">
        <v>150</v>
      </c>
      <c r="D102" s="72">
        <v>16</v>
      </c>
      <c r="E102" s="72">
        <v>31</v>
      </c>
      <c r="F102" s="72">
        <v>90.361442565917969</v>
      </c>
      <c r="G102" s="72">
        <v>9.638554573059082</v>
      </c>
      <c r="H102" s="72">
        <v>175</v>
      </c>
      <c r="I102" s="72">
        <v>5</v>
      </c>
      <c r="J102" s="72">
        <v>2</v>
      </c>
      <c r="K102" s="72">
        <v>4</v>
      </c>
      <c r="L102" s="72">
        <v>8</v>
      </c>
      <c r="M102" s="72">
        <v>3</v>
      </c>
      <c r="N102" s="72">
        <v>90.206184387207031</v>
      </c>
      <c r="O102" s="72">
        <v>2.5773196220397949</v>
      </c>
      <c r="P102" s="72">
        <v>1.0309277772903442</v>
      </c>
      <c r="Q102" s="72">
        <v>2.0618555545806885</v>
      </c>
      <c r="R102" s="72">
        <v>4.123711109161377</v>
      </c>
      <c r="S102" s="72">
        <v>6</v>
      </c>
      <c r="T102" s="72">
        <v>22</v>
      </c>
      <c r="U102" s="72">
        <v>27</v>
      </c>
      <c r="V102" s="72">
        <v>60</v>
      </c>
      <c r="W102" s="72">
        <v>82</v>
      </c>
      <c r="X102" s="72">
        <v>3.0456852912902832</v>
      </c>
      <c r="Y102" s="72">
        <v>11.167512893676758</v>
      </c>
      <c r="Z102" s="72">
        <v>13.705583572387695</v>
      </c>
      <c r="AA102" s="72">
        <v>30.456851959228516</v>
      </c>
      <c r="AB102" s="72">
        <v>41.624366760253906</v>
      </c>
      <c r="AC102" s="72">
        <v>12</v>
      </c>
      <c r="AD102" s="72">
        <v>1</v>
      </c>
      <c r="AE102" s="72">
        <v>175</v>
      </c>
      <c r="AF102" s="72">
        <v>9</v>
      </c>
      <c r="AG102" s="72">
        <v>6.0913705825805664</v>
      </c>
      <c r="AH102" s="72">
        <v>0.50761419534683228</v>
      </c>
      <c r="AI102" s="72">
        <v>88.832489013671875</v>
      </c>
      <c r="AJ102" s="72">
        <v>4.5685276985168457</v>
      </c>
      <c r="AK102" s="72">
        <v>41</v>
      </c>
      <c r="AL102" s="72">
        <v>11</v>
      </c>
      <c r="AM102" s="72">
        <v>23</v>
      </c>
      <c r="AN102" s="72">
        <v>15</v>
      </c>
      <c r="AO102" s="72">
        <v>92</v>
      </c>
      <c r="AP102" s="72">
        <v>15</v>
      </c>
      <c r="AQ102" s="72">
        <v>22.527473449707031</v>
      </c>
      <c r="AR102" s="72">
        <v>6.0439562797546387</v>
      </c>
      <c r="AS102" s="72">
        <v>12.637362480163574</v>
      </c>
      <c r="AT102" s="72">
        <v>8.2417583465576172</v>
      </c>
      <c r="AU102" s="72">
        <v>50.549449920654297</v>
      </c>
      <c r="AV102" s="72">
        <v>30</v>
      </c>
      <c r="AW102" s="72">
        <v>62</v>
      </c>
      <c r="AX102" s="72">
        <v>30</v>
      </c>
      <c r="AY102" s="72">
        <v>35</v>
      </c>
      <c r="AZ102" s="72">
        <v>7</v>
      </c>
      <c r="BA102" s="72">
        <v>33</v>
      </c>
      <c r="BB102" s="72">
        <v>18.292682647705078</v>
      </c>
      <c r="BC102" s="72">
        <v>37.804878234863281</v>
      </c>
      <c r="BD102" s="72">
        <v>18.292682647705078</v>
      </c>
      <c r="BE102" s="72">
        <v>21.341463088989258</v>
      </c>
      <c r="BF102" s="72">
        <v>4.2682929039001465</v>
      </c>
    </row>
    <row r="103" spans="1:58" x14ac:dyDescent="0.25">
      <c r="A103" s="69" t="s">
        <v>283</v>
      </c>
      <c r="B103" s="69" t="s">
        <v>284</v>
      </c>
      <c r="C103" s="70">
        <v>169</v>
      </c>
      <c r="D103" s="70">
        <v>23</v>
      </c>
      <c r="E103" s="70">
        <v>283</v>
      </c>
      <c r="F103" s="70">
        <v>88.020835876464844</v>
      </c>
      <c r="G103" s="70">
        <v>11.979166984558105</v>
      </c>
      <c r="H103" s="70">
        <v>413</v>
      </c>
      <c r="I103" s="70">
        <v>13</v>
      </c>
      <c r="J103" s="70">
        <v>7</v>
      </c>
      <c r="K103" s="70">
        <v>6</v>
      </c>
      <c r="L103" s="70">
        <v>9</v>
      </c>
      <c r="M103" s="70">
        <v>27</v>
      </c>
      <c r="N103" s="70">
        <v>92.1875</v>
      </c>
      <c r="O103" s="70">
        <v>2.9017856121063232</v>
      </c>
      <c r="P103" s="70">
        <v>1.5625</v>
      </c>
      <c r="Q103" s="70">
        <v>1.3392857313156128</v>
      </c>
      <c r="R103" s="70">
        <v>2.0089285373687744</v>
      </c>
      <c r="S103" s="70">
        <v>111</v>
      </c>
      <c r="T103" s="70">
        <v>107</v>
      </c>
      <c r="U103" s="70">
        <v>107</v>
      </c>
      <c r="V103" s="70">
        <v>99</v>
      </c>
      <c r="W103" s="70">
        <v>51</v>
      </c>
      <c r="X103" s="70">
        <v>23.36842155456543</v>
      </c>
      <c r="Y103" s="70">
        <v>22.526315689086914</v>
      </c>
      <c r="Z103" s="70">
        <v>22.526315689086914</v>
      </c>
      <c r="AA103" s="70">
        <v>20.842105865478516</v>
      </c>
      <c r="AB103" s="70">
        <v>10.736842155456543</v>
      </c>
      <c r="AC103" s="70">
        <v>33</v>
      </c>
      <c r="AD103" s="70">
        <v>2</v>
      </c>
      <c r="AE103" s="70">
        <v>311</v>
      </c>
      <c r="AF103" s="70">
        <v>129</v>
      </c>
      <c r="AG103" s="70">
        <v>6.9473686218261719</v>
      </c>
      <c r="AH103" s="70">
        <v>0.42105263471603394</v>
      </c>
      <c r="AI103" s="70">
        <v>65.473686218261719</v>
      </c>
      <c r="AJ103" s="70">
        <v>27.157894134521484</v>
      </c>
      <c r="AK103" s="70">
        <v>54</v>
      </c>
      <c r="AL103" s="70">
        <v>42</v>
      </c>
      <c r="AM103" s="70">
        <v>57</v>
      </c>
      <c r="AN103" s="70">
        <v>38</v>
      </c>
      <c r="AO103" s="70">
        <v>189</v>
      </c>
      <c r="AP103" s="70">
        <v>95</v>
      </c>
      <c r="AQ103" s="70">
        <v>14.210526466369629</v>
      </c>
      <c r="AR103" s="70">
        <v>11.052631378173828</v>
      </c>
      <c r="AS103" s="70">
        <v>15</v>
      </c>
      <c r="AT103" s="70">
        <v>10</v>
      </c>
      <c r="AU103" s="70">
        <v>49.736843109130859</v>
      </c>
      <c r="AV103" s="70">
        <v>58</v>
      </c>
      <c r="AW103" s="70">
        <v>152</v>
      </c>
      <c r="AX103" s="70">
        <v>90</v>
      </c>
      <c r="AY103" s="70">
        <v>79</v>
      </c>
      <c r="AZ103" s="70">
        <v>25</v>
      </c>
      <c r="BA103" s="70">
        <v>71</v>
      </c>
      <c r="BB103" s="70">
        <v>14.356435775756836</v>
      </c>
      <c r="BC103" s="70">
        <v>37.623764038085938</v>
      </c>
      <c r="BD103" s="70">
        <v>22.277227401733398</v>
      </c>
      <c r="BE103" s="70">
        <v>19.554454803466797</v>
      </c>
      <c r="BF103" s="70">
        <v>6.1881189346313477</v>
      </c>
    </row>
    <row r="104" spans="1:58" x14ac:dyDescent="0.25">
      <c r="A104" s="71" t="s">
        <v>285</v>
      </c>
      <c r="B104" s="71" t="s">
        <v>286</v>
      </c>
      <c r="C104" s="72">
        <v>234</v>
      </c>
      <c r="D104" s="72">
        <v>14</v>
      </c>
      <c r="E104" s="72">
        <v>38</v>
      </c>
      <c r="F104" s="72">
        <v>94.354835510253906</v>
      </c>
      <c r="G104" s="72">
        <v>5.6451611518859863</v>
      </c>
      <c r="H104" s="72">
        <v>262</v>
      </c>
      <c r="I104" s="72">
        <v>4</v>
      </c>
      <c r="J104" s="72">
        <v>4</v>
      </c>
      <c r="K104" s="72">
        <v>3</v>
      </c>
      <c r="L104" s="72">
        <v>6</v>
      </c>
      <c r="M104" s="72">
        <v>7</v>
      </c>
      <c r="N104" s="72">
        <v>93.906806945800781</v>
      </c>
      <c r="O104" s="72">
        <v>1.4336917400360107</v>
      </c>
      <c r="P104" s="72">
        <v>1.4336917400360107</v>
      </c>
      <c r="Q104" s="72">
        <v>1.0752688646316528</v>
      </c>
      <c r="R104" s="72">
        <v>2.1505377292633057</v>
      </c>
      <c r="S104" s="72">
        <v>140</v>
      </c>
      <c r="T104" s="72">
        <v>51</v>
      </c>
      <c r="U104" s="72">
        <v>36</v>
      </c>
      <c r="V104" s="72">
        <v>38</v>
      </c>
      <c r="W104" s="72">
        <v>21</v>
      </c>
      <c r="X104" s="72">
        <v>48.9510498046875</v>
      </c>
      <c r="Y104" s="72">
        <v>17.832168579101563</v>
      </c>
      <c r="Z104" s="72">
        <v>12.58741283416748</v>
      </c>
      <c r="AA104" s="72">
        <v>13.286713600158691</v>
      </c>
      <c r="AB104" s="72">
        <v>7.3426575660705566</v>
      </c>
      <c r="AC104" s="72">
        <v>16</v>
      </c>
      <c r="AD104" s="72">
        <v>5</v>
      </c>
      <c r="AE104" s="72">
        <v>186</v>
      </c>
      <c r="AF104" s="72">
        <v>79</v>
      </c>
      <c r="AG104" s="72">
        <v>5.5944056510925293</v>
      </c>
      <c r="AH104" s="72">
        <v>1.7482517957687378</v>
      </c>
      <c r="AI104" s="72">
        <v>65.034965515136719</v>
      </c>
      <c r="AJ104" s="72">
        <v>27.622377395629883</v>
      </c>
      <c r="AK104" s="72">
        <v>63</v>
      </c>
      <c r="AL104" s="72">
        <v>21</v>
      </c>
      <c r="AM104" s="72">
        <v>29</v>
      </c>
      <c r="AN104" s="72">
        <v>19</v>
      </c>
      <c r="AO104" s="72">
        <v>145</v>
      </c>
      <c r="AP104" s="72">
        <v>9</v>
      </c>
      <c r="AQ104" s="72">
        <v>22.743682861328125</v>
      </c>
      <c r="AR104" s="72">
        <v>7.5812273025512695</v>
      </c>
      <c r="AS104" s="72">
        <v>10.469313621520996</v>
      </c>
      <c r="AT104" s="72">
        <v>6.8592057228088379</v>
      </c>
      <c r="AU104" s="72">
        <v>52.346569061279297</v>
      </c>
      <c r="AV104" s="72">
        <v>63</v>
      </c>
      <c r="AW104" s="72">
        <v>84</v>
      </c>
      <c r="AX104" s="72">
        <v>58</v>
      </c>
      <c r="AY104" s="72">
        <v>56</v>
      </c>
      <c r="AZ104" s="72">
        <v>18</v>
      </c>
      <c r="BA104" s="72">
        <v>7</v>
      </c>
      <c r="BB104" s="72">
        <v>22.580644607543945</v>
      </c>
      <c r="BC104" s="72">
        <v>30.107526779174805</v>
      </c>
      <c r="BD104" s="72">
        <v>20.788530349731445</v>
      </c>
      <c r="BE104" s="72">
        <v>20.071683883666992</v>
      </c>
      <c r="BF104" s="72">
        <v>6.4516129493713379</v>
      </c>
    </row>
    <row r="105" spans="1:58" x14ac:dyDescent="0.25">
      <c r="A105" s="69" t="s">
        <v>287</v>
      </c>
      <c r="B105" s="69" t="s">
        <v>288</v>
      </c>
      <c r="C105" s="70">
        <v>41</v>
      </c>
      <c r="D105" s="70">
        <v>5</v>
      </c>
      <c r="E105" s="70">
        <v>103</v>
      </c>
      <c r="F105" s="70">
        <v>89.13043212890625</v>
      </c>
      <c r="G105" s="70">
        <v>10.869565010070801</v>
      </c>
      <c r="H105" s="70">
        <v>145</v>
      </c>
      <c r="I105" s="70">
        <v>1</v>
      </c>
      <c r="J105" s="70"/>
      <c r="K105" s="70">
        <v>1</v>
      </c>
      <c r="L105" s="70">
        <v>1</v>
      </c>
      <c r="M105" s="70">
        <v>1</v>
      </c>
      <c r="N105" s="70">
        <v>97.972976684570313</v>
      </c>
      <c r="O105" s="70">
        <v>0.67567569017410278</v>
      </c>
      <c r="P105" s="70"/>
      <c r="Q105" s="70">
        <v>0.67567569017410278</v>
      </c>
      <c r="R105" s="70">
        <v>0.67567569017410278</v>
      </c>
      <c r="S105" s="70">
        <v>41</v>
      </c>
      <c r="T105" s="70">
        <v>17</v>
      </c>
      <c r="U105" s="70">
        <v>35</v>
      </c>
      <c r="V105" s="70">
        <v>31</v>
      </c>
      <c r="W105" s="70">
        <v>25</v>
      </c>
      <c r="X105" s="70">
        <v>27.516778945922852</v>
      </c>
      <c r="Y105" s="70">
        <v>11.409396171569824</v>
      </c>
      <c r="Z105" s="70">
        <v>23.489933013916016</v>
      </c>
      <c r="AA105" s="70">
        <v>20.805368423461914</v>
      </c>
      <c r="AB105" s="70">
        <v>16.778524398803711</v>
      </c>
      <c r="AC105" s="70">
        <v>13</v>
      </c>
      <c r="AD105" s="70"/>
      <c r="AE105" s="70">
        <v>58</v>
      </c>
      <c r="AF105" s="70">
        <v>78</v>
      </c>
      <c r="AG105" s="70">
        <v>8.7248325347900391</v>
      </c>
      <c r="AH105" s="70"/>
      <c r="AI105" s="70">
        <v>38.926174163818359</v>
      </c>
      <c r="AJ105" s="70">
        <v>52.348991394042969</v>
      </c>
      <c r="AK105" s="70">
        <v>19</v>
      </c>
      <c r="AL105" s="70">
        <v>9</v>
      </c>
      <c r="AM105" s="70">
        <v>11</v>
      </c>
      <c r="AN105" s="70">
        <v>6</v>
      </c>
      <c r="AO105" s="70">
        <v>57</v>
      </c>
      <c r="AP105" s="70">
        <v>47</v>
      </c>
      <c r="AQ105" s="70">
        <v>18.627450942993164</v>
      </c>
      <c r="AR105" s="70">
        <v>8.8235292434692383</v>
      </c>
      <c r="AS105" s="70">
        <v>10.784314155578613</v>
      </c>
      <c r="AT105" s="70">
        <v>5.8823528289794922</v>
      </c>
      <c r="AU105" s="70">
        <v>55.882354736328125</v>
      </c>
      <c r="AV105" s="70">
        <v>17</v>
      </c>
      <c r="AW105" s="70">
        <v>23</v>
      </c>
      <c r="AX105" s="70">
        <v>32</v>
      </c>
      <c r="AY105" s="70">
        <v>30</v>
      </c>
      <c r="AZ105" s="70">
        <v>8</v>
      </c>
      <c r="BA105" s="70">
        <v>39</v>
      </c>
      <c r="BB105" s="70">
        <v>15.454545021057129</v>
      </c>
      <c r="BC105" s="70">
        <v>20.909090042114258</v>
      </c>
      <c r="BD105" s="70">
        <v>29.090909957885742</v>
      </c>
      <c r="BE105" s="70">
        <v>27.272727966308594</v>
      </c>
      <c r="BF105" s="70">
        <v>7.2727274894714355</v>
      </c>
    </row>
    <row r="106" spans="1:58" x14ac:dyDescent="0.25">
      <c r="A106" s="71" t="s">
        <v>289</v>
      </c>
      <c r="B106" s="71" t="s">
        <v>290</v>
      </c>
      <c r="C106" s="72">
        <v>147</v>
      </c>
      <c r="D106" s="72">
        <v>10</v>
      </c>
      <c r="E106" s="72">
        <v>307</v>
      </c>
      <c r="F106" s="72">
        <v>93.630569458007813</v>
      </c>
      <c r="G106" s="72">
        <v>6.3694267272949219</v>
      </c>
      <c r="H106" s="72">
        <v>383</v>
      </c>
      <c r="I106" s="72">
        <v>20</v>
      </c>
      <c r="J106" s="72">
        <v>8</v>
      </c>
      <c r="K106" s="72">
        <v>9</v>
      </c>
      <c r="L106" s="72">
        <v>5</v>
      </c>
      <c r="M106" s="72">
        <v>39</v>
      </c>
      <c r="N106" s="72">
        <v>90.117645263671875</v>
      </c>
      <c r="O106" s="72">
        <v>4.7058825492858887</v>
      </c>
      <c r="P106" s="72">
        <v>1.8823529481887817</v>
      </c>
      <c r="Q106" s="72">
        <v>2.1176471710205078</v>
      </c>
      <c r="R106" s="72">
        <v>1.1764706373214722</v>
      </c>
      <c r="S106" s="72">
        <v>184</v>
      </c>
      <c r="T106" s="72">
        <v>83</v>
      </c>
      <c r="U106" s="72">
        <v>84</v>
      </c>
      <c r="V106" s="72">
        <v>51</v>
      </c>
      <c r="W106" s="72">
        <v>62</v>
      </c>
      <c r="X106" s="72">
        <v>39.655174255371094</v>
      </c>
      <c r="Y106" s="72">
        <v>17.887931823730469</v>
      </c>
      <c r="Z106" s="72">
        <v>18.103448867797852</v>
      </c>
      <c r="AA106" s="72">
        <v>10.991379737854004</v>
      </c>
      <c r="AB106" s="72">
        <v>13.362069129943848</v>
      </c>
      <c r="AC106" s="72">
        <v>24</v>
      </c>
      <c r="AD106" s="72">
        <v>3</v>
      </c>
      <c r="AE106" s="72">
        <v>228</v>
      </c>
      <c r="AF106" s="72">
        <v>209</v>
      </c>
      <c r="AG106" s="72">
        <v>5.1724138259887695</v>
      </c>
      <c r="AH106" s="72">
        <v>0.64655172824859619</v>
      </c>
      <c r="AI106" s="72">
        <v>49.137931823730469</v>
      </c>
      <c r="AJ106" s="72">
        <v>45.043102264404297</v>
      </c>
      <c r="AK106" s="72">
        <v>113</v>
      </c>
      <c r="AL106" s="72">
        <v>43</v>
      </c>
      <c r="AM106" s="72">
        <v>63</v>
      </c>
      <c r="AN106" s="72">
        <v>38</v>
      </c>
      <c r="AO106" s="72">
        <v>154</v>
      </c>
      <c r="AP106" s="72">
        <v>53</v>
      </c>
      <c r="AQ106" s="72">
        <v>27.493917465209961</v>
      </c>
      <c r="AR106" s="72">
        <v>10.462286949157715</v>
      </c>
      <c r="AS106" s="72">
        <v>15.32846736907959</v>
      </c>
      <c r="AT106" s="72">
        <v>9.2457418441772461</v>
      </c>
      <c r="AU106" s="72">
        <v>37.469585418701172</v>
      </c>
      <c r="AV106" s="72">
        <v>107</v>
      </c>
      <c r="AW106" s="72">
        <v>123</v>
      </c>
      <c r="AX106" s="72">
        <v>79</v>
      </c>
      <c r="AY106" s="72">
        <v>74</v>
      </c>
      <c r="AZ106" s="72">
        <v>35</v>
      </c>
      <c r="BA106" s="72">
        <v>46</v>
      </c>
      <c r="BB106" s="72">
        <v>25.598085403442383</v>
      </c>
      <c r="BC106" s="72">
        <v>29.425836563110352</v>
      </c>
      <c r="BD106" s="72">
        <v>18.899520874023438</v>
      </c>
      <c r="BE106" s="72">
        <v>17.703350067138672</v>
      </c>
      <c r="BF106" s="72">
        <v>8.3732061386108398</v>
      </c>
    </row>
    <row r="107" spans="1:58" x14ac:dyDescent="0.25">
      <c r="A107" s="69" t="s">
        <v>291</v>
      </c>
      <c r="B107" s="69" t="s">
        <v>292</v>
      </c>
      <c r="C107" s="70">
        <v>38</v>
      </c>
      <c r="D107" s="70">
        <v>2</v>
      </c>
      <c r="E107" s="70">
        <v>365</v>
      </c>
      <c r="F107" s="70">
        <v>95</v>
      </c>
      <c r="G107" s="70">
        <v>5</v>
      </c>
      <c r="H107" s="70">
        <v>373</v>
      </c>
      <c r="I107" s="70">
        <v>11</v>
      </c>
      <c r="J107" s="70">
        <v>3</v>
      </c>
      <c r="K107" s="70">
        <v>2</v>
      </c>
      <c r="L107" s="70">
        <v>3</v>
      </c>
      <c r="M107" s="70">
        <v>13</v>
      </c>
      <c r="N107" s="70">
        <v>95.153060913085938</v>
      </c>
      <c r="O107" s="70">
        <v>2.8061225414276123</v>
      </c>
      <c r="P107" s="70">
        <v>0.76530611515045166</v>
      </c>
      <c r="Q107" s="70">
        <v>0.51020407676696777</v>
      </c>
      <c r="R107" s="70">
        <v>0.76530611515045166</v>
      </c>
      <c r="S107" s="70">
        <v>95</v>
      </c>
      <c r="T107" s="70">
        <v>100</v>
      </c>
      <c r="U107" s="70">
        <v>82</v>
      </c>
      <c r="V107" s="70">
        <v>69</v>
      </c>
      <c r="W107" s="70">
        <v>59</v>
      </c>
      <c r="X107" s="70">
        <v>23.456790924072266</v>
      </c>
      <c r="Y107" s="70">
        <v>24.69135856628418</v>
      </c>
      <c r="Z107" s="70">
        <v>20.246913909912109</v>
      </c>
      <c r="AA107" s="70">
        <v>17.037036895751953</v>
      </c>
      <c r="AB107" s="70">
        <v>14.567901611328125</v>
      </c>
      <c r="AC107" s="70">
        <v>25</v>
      </c>
      <c r="AD107" s="70">
        <v>5</v>
      </c>
      <c r="AE107" s="70">
        <v>197</v>
      </c>
      <c r="AF107" s="70">
        <v>178</v>
      </c>
      <c r="AG107" s="70">
        <v>6.1728396415710449</v>
      </c>
      <c r="AH107" s="70">
        <v>1.2345678806304932</v>
      </c>
      <c r="AI107" s="70">
        <v>48.641975402832031</v>
      </c>
      <c r="AJ107" s="70">
        <v>43.950618743896484</v>
      </c>
      <c r="AK107" s="70">
        <v>54</v>
      </c>
      <c r="AL107" s="70">
        <v>32</v>
      </c>
      <c r="AM107" s="70">
        <v>45</v>
      </c>
      <c r="AN107" s="70">
        <v>40</v>
      </c>
      <c r="AO107" s="70">
        <v>198</v>
      </c>
      <c r="AP107" s="70">
        <v>36</v>
      </c>
      <c r="AQ107" s="70">
        <v>14.634146690368652</v>
      </c>
      <c r="AR107" s="70">
        <v>8.6720867156982422</v>
      </c>
      <c r="AS107" s="70">
        <v>12.195121765136719</v>
      </c>
      <c r="AT107" s="70">
        <v>10.840108871459961</v>
      </c>
      <c r="AU107" s="70">
        <v>53.658535003662109</v>
      </c>
      <c r="AV107" s="70">
        <v>74</v>
      </c>
      <c r="AW107" s="70">
        <v>99</v>
      </c>
      <c r="AX107" s="70">
        <v>55</v>
      </c>
      <c r="AY107" s="70">
        <v>66</v>
      </c>
      <c r="AZ107" s="70">
        <v>23</v>
      </c>
      <c r="BA107" s="70">
        <v>88</v>
      </c>
      <c r="BB107" s="70">
        <v>23.343849182128906</v>
      </c>
      <c r="BC107" s="70">
        <v>31.230283737182617</v>
      </c>
      <c r="BD107" s="70">
        <v>17.350156784057617</v>
      </c>
      <c r="BE107" s="70">
        <v>20.820188522338867</v>
      </c>
      <c r="BF107" s="70">
        <v>7.2555203437805176</v>
      </c>
    </row>
    <row r="108" spans="1:58" x14ac:dyDescent="0.25">
      <c r="A108" s="71" t="s">
        <v>293</v>
      </c>
      <c r="B108" s="71" t="s">
        <v>294</v>
      </c>
      <c r="C108" s="72">
        <v>201</v>
      </c>
      <c r="D108" s="72">
        <v>26</v>
      </c>
      <c r="E108" s="72">
        <v>376</v>
      </c>
      <c r="F108" s="72">
        <v>88.546257019042969</v>
      </c>
      <c r="G108" s="72">
        <v>11.453744888305664</v>
      </c>
      <c r="H108" s="72">
        <v>530</v>
      </c>
      <c r="I108" s="72">
        <v>4</v>
      </c>
      <c r="J108" s="72">
        <v>45</v>
      </c>
      <c r="K108" s="72">
        <v>6</v>
      </c>
      <c r="L108" s="72">
        <v>14</v>
      </c>
      <c r="M108" s="72">
        <v>4</v>
      </c>
      <c r="N108" s="72">
        <v>88.480804443359375</v>
      </c>
      <c r="O108" s="72">
        <v>0.66777962446212769</v>
      </c>
      <c r="P108" s="72">
        <v>7.5125207901000977</v>
      </c>
      <c r="Q108" s="72">
        <v>1.0016694068908691</v>
      </c>
      <c r="R108" s="72">
        <v>2.3372287750244141</v>
      </c>
      <c r="S108" s="72">
        <v>93</v>
      </c>
      <c r="T108" s="72">
        <v>101</v>
      </c>
      <c r="U108" s="72">
        <v>122</v>
      </c>
      <c r="V108" s="72">
        <v>148</v>
      </c>
      <c r="W108" s="72">
        <v>139</v>
      </c>
      <c r="X108" s="72">
        <v>15.422885894775391</v>
      </c>
      <c r="Y108" s="72">
        <v>16.74958610534668</v>
      </c>
      <c r="Z108" s="72">
        <v>20.232172012329102</v>
      </c>
      <c r="AA108" s="72">
        <v>24.543947219848633</v>
      </c>
      <c r="AB108" s="72">
        <v>23.051408767700195</v>
      </c>
      <c r="AC108" s="72">
        <v>46</v>
      </c>
      <c r="AD108" s="72">
        <v>9</v>
      </c>
      <c r="AE108" s="72">
        <v>292</v>
      </c>
      <c r="AF108" s="72">
        <v>256</v>
      </c>
      <c r="AG108" s="72">
        <v>7.6285238265991211</v>
      </c>
      <c r="AH108" s="72">
        <v>1.492537260055542</v>
      </c>
      <c r="AI108" s="72">
        <v>48.424545288085938</v>
      </c>
      <c r="AJ108" s="72">
        <v>42.454395294189453</v>
      </c>
      <c r="AK108" s="72">
        <v>112</v>
      </c>
      <c r="AL108" s="72">
        <v>32</v>
      </c>
      <c r="AM108" s="72">
        <v>63</v>
      </c>
      <c r="AN108" s="72">
        <v>40</v>
      </c>
      <c r="AO108" s="72">
        <v>244</v>
      </c>
      <c r="AP108" s="72">
        <v>112</v>
      </c>
      <c r="AQ108" s="72">
        <v>22.810590744018555</v>
      </c>
      <c r="AR108" s="72">
        <v>6.5173115730285645</v>
      </c>
      <c r="AS108" s="72">
        <v>12.830957412719727</v>
      </c>
      <c r="AT108" s="72">
        <v>8.1466398239135742</v>
      </c>
      <c r="AU108" s="72">
        <v>49.694499969482422</v>
      </c>
      <c r="AV108" s="72">
        <v>78</v>
      </c>
      <c r="AW108" s="72">
        <v>154</v>
      </c>
      <c r="AX108" s="72">
        <v>100</v>
      </c>
      <c r="AY108" s="72">
        <v>175</v>
      </c>
      <c r="AZ108" s="72">
        <v>20</v>
      </c>
      <c r="BA108" s="72">
        <v>76</v>
      </c>
      <c r="BB108" s="72">
        <v>14.800759315490723</v>
      </c>
      <c r="BC108" s="72">
        <v>29.222011566162109</v>
      </c>
      <c r="BD108" s="72">
        <v>18.975332260131836</v>
      </c>
      <c r="BE108" s="72">
        <v>33.206832885742188</v>
      </c>
      <c r="BF108" s="72">
        <v>3.7950663566589355</v>
      </c>
    </row>
    <row r="109" spans="1:58" x14ac:dyDescent="0.25">
      <c r="A109" s="69" t="s">
        <v>295</v>
      </c>
      <c r="B109" s="69" t="s">
        <v>296</v>
      </c>
      <c r="C109" s="70">
        <v>39</v>
      </c>
      <c r="D109" s="70">
        <v>3</v>
      </c>
      <c r="E109" s="70">
        <v>169</v>
      </c>
      <c r="F109" s="70">
        <v>92.857139587402344</v>
      </c>
      <c r="G109" s="70">
        <v>7.1428570747375488</v>
      </c>
      <c r="H109" s="70">
        <v>188</v>
      </c>
      <c r="I109" s="70">
        <v>3</v>
      </c>
      <c r="J109" s="70">
        <v>4</v>
      </c>
      <c r="K109" s="70">
        <v>1</v>
      </c>
      <c r="L109" s="70">
        <v>8</v>
      </c>
      <c r="M109" s="70">
        <v>7</v>
      </c>
      <c r="N109" s="70">
        <v>92.1568603515625</v>
      </c>
      <c r="O109" s="70">
        <v>1.470588207244873</v>
      </c>
      <c r="P109" s="70">
        <v>1.9607843160629272</v>
      </c>
      <c r="Q109" s="70">
        <v>0.49019607901573181</v>
      </c>
      <c r="R109" s="70">
        <v>3.9215686321258545</v>
      </c>
      <c r="S109" s="70">
        <v>13</v>
      </c>
      <c r="T109" s="70">
        <v>26</v>
      </c>
      <c r="U109" s="70">
        <v>60</v>
      </c>
      <c r="V109" s="70">
        <v>56</v>
      </c>
      <c r="W109" s="70">
        <v>56</v>
      </c>
      <c r="X109" s="70">
        <v>6.161137580871582</v>
      </c>
      <c r="Y109" s="70">
        <v>12.322275161743164</v>
      </c>
      <c r="Z109" s="70">
        <v>28.436019897460938</v>
      </c>
      <c r="AA109" s="70">
        <v>26.540285110473633</v>
      </c>
      <c r="AB109" s="70">
        <v>26.540285110473633</v>
      </c>
      <c r="AC109" s="70">
        <v>10</v>
      </c>
      <c r="AD109" s="70">
        <v>5</v>
      </c>
      <c r="AE109" s="70">
        <v>129</v>
      </c>
      <c r="AF109" s="70">
        <v>67</v>
      </c>
      <c r="AG109" s="70">
        <v>4.7393364906311035</v>
      </c>
      <c r="AH109" s="70">
        <v>2.3696682453155518</v>
      </c>
      <c r="AI109" s="70">
        <v>61.137439727783203</v>
      </c>
      <c r="AJ109" s="70">
        <v>31.753555297851563</v>
      </c>
      <c r="AK109" s="70">
        <v>40</v>
      </c>
      <c r="AL109" s="70">
        <v>8</v>
      </c>
      <c r="AM109" s="70">
        <v>22</v>
      </c>
      <c r="AN109" s="70">
        <v>20</v>
      </c>
      <c r="AO109" s="70">
        <v>69</v>
      </c>
      <c r="AP109" s="70">
        <v>52</v>
      </c>
      <c r="AQ109" s="70">
        <v>25.157232284545898</v>
      </c>
      <c r="AR109" s="70">
        <v>5.0314464569091797</v>
      </c>
      <c r="AS109" s="70">
        <v>13.836478233337402</v>
      </c>
      <c r="AT109" s="70">
        <v>12.578616142272949</v>
      </c>
      <c r="AU109" s="70">
        <v>43.396224975585938</v>
      </c>
      <c r="AV109" s="70">
        <v>30</v>
      </c>
      <c r="AW109" s="70">
        <v>81</v>
      </c>
      <c r="AX109" s="70">
        <v>30</v>
      </c>
      <c r="AY109" s="70">
        <v>15</v>
      </c>
      <c r="AZ109" s="70">
        <v>3</v>
      </c>
      <c r="BA109" s="70">
        <v>52</v>
      </c>
      <c r="BB109" s="70">
        <v>18.867923736572266</v>
      </c>
      <c r="BC109" s="70">
        <v>50.943397521972656</v>
      </c>
      <c r="BD109" s="70">
        <v>18.867923736572266</v>
      </c>
      <c r="BE109" s="70">
        <v>9.4339618682861328</v>
      </c>
      <c r="BF109" s="70">
        <v>1.8867924213409424</v>
      </c>
    </row>
    <row r="110" spans="1:58" x14ac:dyDescent="0.25">
      <c r="A110" s="71" t="s">
        <v>297</v>
      </c>
      <c r="B110" s="71" t="s">
        <v>298</v>
      </c>
      <c r="C110" s="72">
        <v>138</v>
      </c>
      <c r="D110" s="72">
        <v>27</v>
      </c>
      <c r="E110" s="72">
        <v>7</v>
      </c>
      <c r="F110" s="72">
        <v>83.636360168457031</v>
      </c>
      <c r="G110" s="72">
        <v>16.363636016845703</v>
      </c>
      <c r="H110" s="72">
        <v>160</v>
      </c>
      <c r="I110" s="72">
        <v>4</v>
      </c>
      <c r="J110" s="72">
        <v>3</v>
      </c>
      <c r="K110" s="72">
        <v>2</v>
      </c>
      <c r="L110" s="72">
        <v>2</v>
      </c>
      <c r="M110" s="72">
        <v>1</v>
      </c>
      <c r="N110" s="72">
        <v>93.567253112792969</v>
      </c>
      <c r="O110" s="72">
        <v>2.3391811847686768</v>
      </c>
      <c r="P110" s="72">
        <v>1.7543859481811523</v>
      </c>
      <c r="Q110" s="72">
        <v>1.1695905923843384</v>
      </c>
      <c r="R110" s="72">
        <v>1.1695905923843384</v>
      </c>
      <c r="S110" s="72">
        <v>6</v>
      </c>
      <c r="T110" s="72">
        <v>25</v>
      </c>
      <c r="U110" s="72">
        <v>57</v>
      </c>
      <c r="V110" s="72">
        <v>35</v>
      </c>
      <c r="W110" s="72">
        <v>49</v>
      </c>
      <c r="X110" s="72">
        <v>3.4883720874786377</v>
      </c>
      <c r="Y110" s="72">
        <v>14.534883499145508</v>
      </c>
      <c r="Z110" s="72">
        <v>33.139533996582031</v>
      </c>
      <c r="AA110" s="72">
        <v>20.348836898803711</v>
      </c>
      <c r="AB110" s="72">
        <v>28.488372802734375</v>
      </c>
      <c r="AC110" s="72">
        <v>11</v>
      </c>
      <c r="AD110" s="72"/>
      <c r="AE110" s="72">
        <v>112</v>
      </c>
      <c r="AF110" s="72">
        <v>49</v>
      </c>
      <c r="AG110" s="72">
        <v>6.3953490257263184</v>
      </c>
      <c r="AH110" s="72"/>
      <c r="AI110" s="72">
        <v>65.116279602050781</v>
      </c>
      <c r="AJ110" s="72">
        <v>28.488372802734375</v>
      </c>
      <c r="AK110" s="72">
        <v>36</v>
      </c>
      <c r="AL110" s="72">
        <v>14</v>
      </c>
      <c r="AM110" s="72">
        <v>10</v>
      </c>
      <c r="AN110" s="72">
        <v>10</v>
      </c>
      <c r="AO110" s="72">
        <v>95</v>
      </c>
      <c r="AP110" s="72">
        <v>7</v>
      </c>
      <c r="AQ110" s="72">
        <v>21.818181991577148</v>
      </c>
      <c r="AR110" s="72">
        <v>8.4848480224609375</v>
      </c>
      <c r="AS110" s="72">
        <v>6.0606060028076172</v>
      </c>
      <c r="AT110" s="72">
        <v>6.0606060028076172</v>
      </c>
      <c r="AU110" s="72">
        <v>57.575756072998047</v>
      </c>
      <c r="AV110" s="72">
        <v>12</v>
      </c>
      <c r="AW110" s="72">
        <v>44</v>
      </c>
      <c r="AX110" s="72">
        <v>53</v>
      </c>
      <c r="AY110" s="72">
        <v>45</v>
      </c>
      <c r="AZ110" s="72">
        <v>12</v>
      </c>
      <c r="BA110" s="72">
        <v>6</v>
      </c>
      <c r="BB110" s="72">
        <v>7.2289156913757324</v>
      </c>
      <c r="BC110" s="72">
        <v>26.506023406982422</v>
      </c>
      <c r="BD110" s="72">
        <v>31.927711486816406</v>
      </c>
      <c r="BE110" s="72">
        <v>27.108434677124023</v>
      </c>
      <c r="BF110" s="72">
        <v>7.2289156913757324</v>
      </c>
    </row>
    <row r="111" spans="1:58" x14ac:dyDescent="0.25">
      <c r="A111" s="69" t="s">
        <v>299</v>
      </c>
      <c r="B111" s="69" t="s">
        <v>300</v>
      </c>
      <c r="C111" s="70">
        <v>21</v>
      </c>
      <c r="D111" s="70">
        <v>3</v>
      </c>
      <c r="E111" s="70">
        <v>187</v>
      </c>
      <c r="F111" s="70">
        <v>87.5</v>
      </c>
      <c r="G111" s="70">
        <v>12.5</v>
      </c>
      <c r="H111" s="70">
        <v>186</v>
      </c>
      <c r="I111" s="70">
        <v>4</v>
      </c>
      <c r="J111" s="70">
        <v>3</v>
      </c>
      <c r="K111" s="70">
        <v>3</v>
      </c>
      <c r="L111" s="70">
        <v>3</v>
      </c>
      <c r="M111" s="70">
        <v>12</v>
      </c>
      <c r="N111" s="70">
        <v>93.467338562011719</v>
      </c>
      <c r="O111" s="70">
        <v>2.0100502967834473</v>
      </c>
      <c r="P111" s="70">
        <v>1.5075377225875854</v>
      </c>
      <c r="Q111" s="70">
        <v>1.5075377225875854</v>
      </c>
      <c r="R111" s="70">
        <v>1.5075377225875854</v>
      </c>
      <c r="S111" s="70">
        <v>6</v>
      </c>
      <c r="T111" s="70">
        <v>39</v>
      </c>
      <c r="U111" s="70">
        <v>63</v>
      </c>
      <c r="V111" s="70">
        <v>47</v>
      </c>
      <c r="W111" s="70">
        <v>56</v>
      </c>
      <c r="X111" s="70">
        <v>2.8436019420623779</v>
      </c>
      <c r="Y111" s="70">
        <v>18.48341178894043</v>
      </c>
      <c r="Z111" s="70">
        <v>29.857820510864258</v>
      </c>
      <c r="AA111" s="70">
        <v>22.274881362915039</v>
      </c>
      <c r="AB111" s="70">
        <v>26.540285110473633</v>
      </c>
      <c r="AC111" s="70">
        <v>15</v>
      </c>
      <c r="AD111" s="70">
        <v>3</v>
      </c>
      <c r="AE111" s="70">
        <v>120</v>
      </c>
      <c r="AF111" s="70">
        <v>73</v>
      </c>
      <c r="AG111" s="70">
        <v>7.1090049743652344</v>
      </c>
      <c r="AH111" s="70">
        <v>1.421800971031189</v>
      </c>
      <c r="AI111" s="70">
        <v>56.872039794921875</v>
      </c>
      <c r="AJ111" s="70">
        <v>34.597156524658203</v>
      </c>
      <c r="AK111" s="70">
        <v>30</v>
      </c>
      <c r="AL111" s="70">
        <v>12</v>
      </c>
      <c r="AM111" s="70">
        <v>20</v>
      </c>
      <c r="AN111" s="70">
        <v>17</v>
      </c>
      <c r="AO111" s="70">
        <v>82</v>
      </c>
      <c r="AP111" s="70">
        <v>50</v>
      </c>
      <c r="AQ111" s="70">
        <v>18.633541107177734</v>
      </c>
      <c r="AR111" s="70">
        <v>7.4534163475036621</v>
      </c>
      <c r="AS111" s="70">
        <v>12.422360420227051</v>
      </c>
      <c r="AT111" s="70">
        <v>10.559005737304688</v>
      </c>
      <c r="AU111" s="70">
        <v>50.931678771972656</v>
      </c>
      <c r="AV111" s="70">
        <v>25</v>
      </c>
      <c r="AW111" s="70">
        <v>52</v>
      </c>
      <c r="AX111" s="70">
        <v>26</v>
      </c>
      <c r="AY111" s="70">
        <v>31</v>
      </c>
      <c r="AZ111" s="70">
        <v>12</v>
      </c>
      <c r="BA111" s="70">
        <v>65</v>
      </c>
      <c r="BB111" s="70">
        <v>17.123287200927734</v>
      </c>
      <c r="BC111" s="70">
        <v>35.616439819335938</v>
      </c>
      <c r="BD111" s="70">
        <v>17.808219909667969</v>
      </c>
      <c r="BE111" s="70">
        <v>21.232875823974609</v>
      </c>
      <c r="BF111" s="70">
        <v>8.2191781997680664</v>
      </c>
    </row>
    <row r="112" spans="1:58" x14ac:dyDescent="0.25">
      <c r="A112" s="71" t="s">
        <v>301</v>
      </c>
      <c r="B112" s="71" t="s">
        <v>302</v>
      </c>
      <c r="C112" s="72">
        <v>153</v>
      </c>
      <c r="D112" s="72">
        <v>19</v>
      </c>
      <c r="E112" s="72">
        <v>26</v>
      </c>
      <c r="F112" s="72">
        <v>88.9534912109375</v>
      </c>
      <c r="G112" s="72">
        <v>11.046511650085449</v>
      </c>
      <c r="H112" s="72">
        <v>165</v>
      </c>
      <c r="I112" s="72">
        <v>6</v>
      </c>
      <c r="J112" s="72">
        <v>3</v>
      </c>
      <c r="K112" s="72">
        <v>17</v>
      </c>
      <c r="L112" s="72">
        <v>2</v>
      </c>
      <c r="M112" s="72">
        <v>5</v>
      </c>
      <c r="N112" s="72">
        <v>85.492225646972656</v>
      </c>
      <c r="O112" s="72">
        <v>3.1088082790374756</v>
      </c>
      <c r="P112" s="72">
        <v>1.5544041395187378</v>
      </c>
      <c r="Q112" s="72">
        <v>8.8082904815673828</v>
      </c>
      <c r="R112" s="72">
        <v>1.0362694263458252</v>
      </c>
      <c r="S112" s="72">
        <v>43</v>
      </c>
      <c r="T112" s="72">
        <v>43</v>
      </c>
      <c r="U112" s="72">
        <v>40</v>
      </c>
      <c r="V112" s="72">
        <v>37</v>
      </c>
      <c r="W112" s="72">
        <v>35</v>
      </c>
      <c r="X112" s="72">
        <v>21.717172622680664</v>
      </c>
      <c r="Y112" s="72">
        <v>21.717172622680664</v>
      </c>
      <c r="Z112" s="72">
        <v>20.202020645141602</v>
      </c>
      <c r="AA112" s="72">
        <v>18.686868667602539</v>
      </c>
      <c r="AB112" s="72">
        <v>17.676767349243164</v>
      </c>
      <c r="AC112" s="72">
        <v>21</v>
      </c>
      <c r="AD112" s="72">
        <v>1</v>
      </c>
      <c r="AE112" s="72">
        <v>92</v>
      </c>
      <c r="AF112" s="72">
        <v>84</v>
      </c>
      <c r="AG112" s="72">
        <v>10.606060981750488</v>
      </c>
      <c r="AH112" s="72">
        <v>0.50505048036575317</v>
      </c>
      <c r="AI112" s="72">
        <v>46.464645385742188</v>
      </c>
      <c r="AJ112" s="72">
        <v>42.424243927001953</v>
      </c>
      <c r="AK112" s="72">
        <v>54</v>
      </c>
      <c r="AL112" s="72">
        <v>11</v>
      </c>
      <c r="AM112" s="72">
        <v>26</v>
      </c>
      <c r="AN112" s="72">
        <v>15</v>
      </c>
      <c r="AO112" s="72">
        <v>91</v>
      </c>
      <c r="AP112" s="72">
        <v>1</v>
      </c>
      <c r="AQ112" s="72">
        <v>27.411167144775391</v>
      </c>
      <c r="AR112" s="72">
        <v>5.5837564468383789</v>
      </c>
      <c r="AS112" s="72">
        <v>13.197969436645508</v>
      </c>
      <c r="AT112" s="72">
        <v>7.6142129898071289</v>
      </c>
      <c r="AU112" s="72">
        <v>46.192893981933594</v>
      </c>
      <c r="AV112" s="72">
        <v>29</v>
      </c>
      <c r="AW112" s="72">
        <v>48</v>
      </c>
      <c r="AX112" s="72">
        <v>39</v>
      </c>
      <c r="AY112" s="72">
        <v>55</v>
      </c>
      <c r="AZ112" s="72">
        <v>23</v>
      </c>
      <c r="BA112" s="72">
        <v>4</v>
      </c>
      <c r="BB112" s="72">
        <v>14.948453903198242</v>
      </c>
      <c r="BC112" s="72">
        <v>24.742267608642578</v>
      </c>
      <c r="BD112" s="72">
        <v>20.103092193603516</v>
      </c>
      <c r="BE112" s="72">
        <v>28.350515365600586</v>
      </c>
      <c r="BF112" s="72">
        <v>11.855669975280762</v>
      </c>
    </row>
    <row r="113" spans="1:58" x14ac:dyDescent="0.25">
      <c r="A113" s="69" t="s">
        <v>303</v>
      </c>
      <c r="B113" s="69" t="s">
        <v>304</v>
      </c>
      <c r="C113" s="70">
        <v>122</v>
      </c>
      <c r="D113" s="70">
        <v>6</v>
      </c>
      <c r="E113" s="70">
        <v>147</v>
      </c>
      <c r="F113" s="70">
        <v>95.3125</v>
      </c>
      <c r="G113" s="70">
        <v>4.6875</v>
      </c>
      <c r="H113" s="70">
        <v>259</v>
      </c>
      <c r="I113" s="70">
        <v>6</v>
      </c>
      <c r="J113" s="70">
        <v>3</v>
      </c>
      <c r="K113" s="70"/>
      <c r="L113" s="70">
        <v>1</v>
      </c>
      <c r="M113" s="70">
        <v>6</v>
      </c>
      <c r="N113" s="70">
        <v>96.282524108886719</v>
      </c>
      <c r="O113" s="70">
        <v>2.2304832935333252</v>
      </c>
      <c r="P113" s="70">
        <v>1.1152416467666626</v>
      </c>
      <c r="Q113" s="70"/>
      <c r="R113" s="70">
        <v>0.371747225522995</v>
      </c>
      <c r="S113" s="70">
        <v>51</v>
      </c>
      <c r="T113" s="70">
        <v>52</v>
      </c>
      <c r="U113" s="70">
        <v>70</v>
      </c>
      <c r="V113" s="70">
        <v>64</v>
      </c>
      <c r="W113" s="70">
        <v>38</v>
      </c>
      <c r="X113" s="70">
        <v>18.545454025268555</v>
      </c>
      <c r="Y113" s="70">
        <v>18.909090042114258</v>
      </c>
      <c r="Z113" s="70">
        <v>25.454545974731445</v>
      </c>
      <c r="AA113" s="70">
        <v>23.272727966308594</v>
      </c>
      <c r="AB113" s="70">
        <v>13.818181991577148</v>
      </c>
      <c r="AC113" s="70">
        <v>23</v>
      </c>
      <c r="AD113" s="70">
        <v>1</v>
      </c>
      <c r="AE113" s="70">
        <v>137</v>
      </c>
      <c r="AF113" s="70">
        <v>114</v>
      </c>
      <c r="AG113" s="70">
        <v>8.3636360168457031</v>
      </c>
      <c r="AH113" s="70">
        <v>0.36363637447357178</v>
      </c>
      <c r="AI113" s="70">
        <v>49.818180084228516</v>
      </c>
      <c r="AJ113" s="70">
        <v>41.454544067382813</v>
      </c>
      <c r="AK113" s="70">
        <v>35</v>
      </c>
      <c r="AL113" s="70">
        <v>20</v>
      </c>
      <c r="AM113" s="70">
        <v>27</v>
      </c>
      <c r="AN113" s="70">
        <v>15</v>
      </c>
      <c r="AO113" s="70">
        <v>156</v>
      </c>
      <c r="AP113" s="70">
        <v>22</v>
      </c>
      <c r="AQ113" s="70">
        <v>13.833992004394531</v>
      </c>
      <c r="AR113" s="70">
        <v>7.9051384925842285</v>
      </c>
      <c r="AS113" s="70">
        <v>10.671936988830566</v>
      </c>
      <c r="AT113" s="70">
        <v>5.9288539886474609</v>
      </c>
      <c r="AU113" s="70">
        <v>61.660079956054688</v>
      </c>
      <c r="AV113" s="70">
        <v>66</v>
      </c>
      <c r="AW113" s="70">
        <v>77</v>
      </c>
      <c r="AX113" s="70">
        <v>66</v>
      </c>
      <c r="AY113" s="70">
        <v>29</v>
      </c>
      <c r="AZ113" s="70">
        <v>7</v>
      </c>
      <c r="BA113" s="70">
        <v>30</v>
      </c>
      <c r="BB113" s="70">
        <v>26.938776016235352</v>
      </c>
      <c r="BC113" s="70">
        <v>31.428571701049805</v>
      </c>
      <c r="BD113" s="70">
        <v>26.938776016235352</v>
      </c>
      <c r="BE113" s="70">
        <v>11.836734771728516</v>
      </c>
      <c r="BF113" s="70">
        <v>2.8571429252624512</v>
      </c>
    </row>
    <row r="114" spans="1:58" x14ac:dyDescent="0.25">
      <c r="A114" s="71" t="s">
        <v>305</v>
      </c>
      <c r="B114" s="71" t="s">
        <v>306</v>
      </c>
      <c r="C114" s="72">
        <v>183</v>
      </c>
      <c r="D114" s="72">
        <v>14</v>
      </c>
      <c r="E114" s="72">
        <v>25</v>
      </c>
      <c r="F114" s="72">
        <v>92.893402099609375</v>
      </c>
      <c r="G114" s="72">
        <v>7.1065988540649414</v>
      </c>
      <c r="H114" s="72">
        <v>215</v>
      </c>
      <c r="I114" s="72">
        <v>3</v>
      </c>
      <c r="J114" s="72">
        <v>2</v>
      </c>
      <c r="K114" s="72"/>
      <c r="L114" s="72">
        <v>1</v>
      </c>
      <c r="M114" s="72">
        <v>1</v>
      </c>
      <c r="N114" s="72">
        <v>97.285064697265625</v>
      </c>
      <c r="O114" s="72">
        <v>1.3574661016464233</v>
      </c>
      <c r="P114" s="72">
        <v>0.90497738122940063</v>
      </c>
      <c r="Q114" s="72"/>
      <c r="R114" s="72">
        <v>0.45248869061470032</v>
      </c>
      <c r="S114" s="72">
        <v>83</v>
      </c>
      <c r="T114" s="72">
        <v>27</v>
      </c>
      <c r="U114" s="72">
        <v>30</v>
      </c>
      <c r="V114" s="72">
        <v>45</v>
      </c>
      <c r="W114" s="72">
        <v>37</v>
      </c>
      <c r="X114" s="72">
        <v>37.387386322021484</v>
      </c>
      <c r="Y114" s="72">
        <v>12.162161827087402</v>
      </c>
      <c r="Z114" s="72">
        <v>13.513513565063477</v>
      </c>
      <c r="AA114" s="72">
        <v>20.270269393920898</v>
      </c>
      <c r="AB114" s="72">
        <v>16.666666030883789</v>
      </c>
      <c r="AC114" s="72">
        <v>19</v>
      </c>
      <c r="AD114" s="72">
        <v>6</v>
      </c>
      <c r="AE114" s="72">
        <v>140</v>
      </c>
      <c r="AF114" s="72">
        <v>57</v>
      </c>
      <c r="AG114" s="72">
        <v>8.558558464050293</v>
      </c>
      <c r="AH114" s="72">
        <v>2.7027027606964111</v>
      </c>
      <c r="AI114" s="72">
        <v>63.063064575195313</v>
      </c>
      <c r="AJ114" s="72">
        <v>25.675676345825195</v>
      </c>
      <c r="AK114" s="72">
        <v>61</v>
      </c>
      <c r="AL114" s="72">
        <v>12</v>
      </c>
      <c r="AM114" s="72">
        <v>21</v>
      </c>
      <c r="AN114" s="72">
        <v>21</v>
      </c>
      <c r="AO114" s="72">
        <v>97</v>
      </c>
      <c r="AP114" s="72">
        <v>10</v>
      </c>
      <c r="AQ114" s="72">
        <v>28.773584365844727</v>
      </c>
      <c r="AR114" s="72">
        <v>5.6603775024414063</v>
      </c>
      <c r="AS114" s="72">
        <v>9.9056606292724609</v>
      </c>
      <c r="AT114" s="72">
        <v>9.9056606292724609</v>
      </c>
      <c r="AU114" s="72">
        <v>45.754718780517578</v>
      </c>
      <c r="AV114" s="72">
        <v>72</v>
      </c>
      <c r="AW114" s="72">
        <v>64</v>
      </c>
      <c r="AX114" s="72">
        <v>38</v>
      </c>
      <c r="AY114" s="72">
        <v>26</v>
      </c>
      <c r="AZ114" s="72">
        <v>16</v>
      </c>
      <c r="BA114" s="72">
        <v>6</v>
      </c>
      <c r="BB114" s="72">
        <v>33.333332061767578</v>
      </c>
      <c r="BC114" s="72">
        <v>29.629629135131836</v>
      </c>
      <c r="BD114" s="72">
        <v>17.592592239379883</v>
      </c>
      <c r="BE114" s="72">
        <v>12.037036895751953</v>
      </c>
      <c r="BF114" s="72">
        <v>7.407407283782959</v>
      </c>
    </row>
    <row r="115" spans="1:58" x14ac:dyDescent="0.25">
      <c r="A115" s="69" t="s">
        <v>307</v>
      </c>
      <c r="B115" s="69" t="s">
        <v>308</v>
      </c>
      <c r="C115" s="70">
        <v>202</v>
      </c>
      <c r="D115" s="70">
        <v>18</v>
      </c>
      <c r="E115" s="70">
        <v>82</v>
      </c>
      <c r="F115" s="70">
        <v>91.818183898925781</v>
      </c>
      <c r="G115" s="70">
        <v>8.1818180084228516</v>
      </c>
      <c r="H115" s="70">
        <v>284</v>
      </c>
      <c r="I115" s="70">
        <v>6</v>
      </c>
      <c r="J115" s="70">
        <v>5</v>
      </c>
      <c r="K115" s="70">
        <v>2</v>
      </c>
      <c r="L115" s="70">
        <v>4</v>
      </c>
      <c r="M115" s="70">
        <v>1</v>
      </c>
      <c r="N115" s="70">
        <v>94.352157592773438</v>
      </c>
      <c r="O115" s="70">
        <v>1.9933555126190186</v>
      </c>
      <c r="P115" s="70">
        <v>1.6611295938491821</v>
      </c>
      <c r="Q115" s="70">
        <v>0.66445183753967285</v>
      </c>
      <c r="R115" s="70">
        <v>1.3289036750793457</v>
      </c>
      <c r="S115" s="70">
        <v>87</v>
      </c>
      <c r="T115" s="70">
        <v>69</v>
      </c>
      <c r="U115" s="70">
        <v>57</v>
      </c>
      <c r="V115" s="70">
        <v>51</v>
      </c>
      <c r="W115" s="70">
        <v>38</v>
      </c>
      <c r="X115" s="70">
        <v>28.807947158813477</v>
      </c>
      <c r="Y115" s="70">
        <v>22.847682952880859</v>
      </c>
      <c r="Z115" s="70">
        <v>18.874172210693359</v>
      </c>
      <c r="AA115" s="70">
        <v>16.887416839599609</v>
      </c>
      <c r="AB115" s="70">
        <v>12.582781791687012</v>
      </c>
      <c r="AC115" s="70">
        <v>38</v>
      </c>
      <c r="AD115" s="70">
        <v>2</v>
      </c>
      <c r="AE115" s="70">
        <v>254</v>
      </c>
      <c r="AF115" s="70">
        <v>8</v>
      </c>
      <c r="AG115" s="70">
        <v>12.582781791687012</v>
      </c>
      <c r="AH115" s="70">
        <v>0.66225165128707886</v>
      </c>
      <c r="AI115" s="70">
        <v>84.10595703125</v>
      </c>
      <c r="AJ115" s="70">
        <v>2.6490066051483154</v>
      </c>
      <c r="AK115" s="70">
        <v>62</v>
      </c>
      <c r="AL115" s="70">
        <v>21</v>
      </c>
      <c r="AM115" s="70">
        <v>37</v>
      </c>
      <c r="AN115" s="70">
        <v>19</v>
      </c>
      <c r="AO115" s="70">
        <v>147</v>
      </c>
      <c r="AP115" s="70">
        <v>16</v>
      </c>
      <c r="AQ115" s="70">
        <v>21.678321838378906</v>
      </c>
      <c r="AR115" s="70">
        <v>7.3426575660705566</v>
      </c>
      <c r="AS115" s="70">
        <v>12.937063217163086</v>
      </c>
      <c r="AT115" s="70">
        <v>6.6433568000793457</v>
      </c>
      <c r="AU115" s="70">
        <v>51.398601531982422</v>
      </c>
      <c r="AV115" s="70">
        <v>62</v>
      </c>
      <c r="AW115" s="70">
        <v>72</v>
      </c>
      <c r="AX115" s="70">
        <v>61</v>
      </c>
      <c r="AY115" s="70">
        <v>75</v>
      </c>
      <c r="AZ115" s="70">
        <v>13</v>
      </c>
      <c r="BA115" s="70">
        <v>19</v>
      </c>
      <c r="BB115" s="70">
        <v>21.908126831054688</v>
      </c>
      <c r="BC115" s="70">
        <v>25.441696166992188</v>
      </c>
      <c r="BD115" s="70">
        <v>21.554769515991211</v>
      </c>
      <c r="BE115" s="70">
        <v>26.501766204833984</v>
      </c>
      <c r="BF115" s="70">
        <v>4.5936393737792969</v>
      </c>
    </row>
    <row r="116" spans="1:58" x14ac:dyDescent="0.25">
      <c r="A116" s="71" t="s">
        <v>309</v>
      </c>
      <c r="B116" s="71" t="s">
        <v>310</v>
      </c>
      <c r="C116" s="72">
        <v>405</v>
      </c>
      <c r="D116" s="72">
        <v>35</v>
      </c>
      <c r="E116" s="72">
        <v>112</v>
      </c>
      <c r="F116" s="72">
        <v>92.045455932617188</v>
      </c>
      <c r="G116" s="72">
        <v>7.9545454978942871</v>
      </c>
      <c r="H116" s="72">
        <v>459</v>
      </c>
      <c r="I116" s="72">
        <v>17</v>
      </c>
      <c r="J116" s="72">
        <v>18</v>
      </c>
      <c r="K116" s="72">
        <v>9</v>
      </c>
      <c r="L116" s="72">
        <v>14</v>
      </c>
      <c r="M116" s="72">
        <v>35</v>
      </c>
      <c r="N116" s="72">
        <v>88.78143310546875</v>
      </c>
      <c r="O116" s="72">
        <v>3.2882010936737061</v>
      </c>
      <c r="P116" s="72">
        <v>3.4816248416900635</v>
      </c>
      <c r="Q116" s="72">
        <v>1.7408124208450317</v>
      </c>
      <c r="R116" s="72">
        <v>2.707930326461792</v>
      </c>
      <c r="S116" s="72">
        <v>165</v>
      </c>
      <c r="T116" s="72">
        <v>98</v>
      </c>
      <c r="U116" s="72">
        <v>100</v>
      </c>
      <c r="V116" s="72">
        <v>99</v>
      </c>
      <c r="W116" s="72">
        <v>90</v>
      </c>
      <c r="X116" s="72">
        <v>29.891304016113281</v>
      </c>
      <c r="Y116" s="72">
        <v>17.753623962402344</v>
      </c>
      <c r="Z116" s="72">
        <v>18.115942001342773</v>
      </c>
      <c r="AA116" s="72">
        <v>17.934782028198242</v>
      </c>
      <c r="AB116" s="72">
        <v>16.304347991943359</v>
      </c>
      <c r="AC116" s="72">
        <v>47</v>
      </c>
      <c r="AD116" s="72">
        <v>18</v>
      </c>
      <c r="AE116" s="72">
        <v>349</v>
      </c>
      <c r="AF116" s="72">
        <v>138</v>
      </c>
      <c r="AG116" s="72">
        <v>8.5144929885864258</v>
      </c>
      <c r="AH116" s="72">
        <v>3.2608695030212402</v>
      </c>
      <c r="AI116" s="72">
        <v>63.224636077880859</v>
      </c>
      <c r="AJ116" s="72">
        <v>25</v>
      </c>
      <c r="AK116" s="72">
        <v>132</v>
      </c>
      <c r="AL116" s="72">
        <v>40</v>
      </c>
      <c r="AM116" s="72">
        <v>71</v>
      </c>
      <c r="AN116" s="72">
        <v>55</v>
      </c>
      <c r="AO116" s="72">
        <v>193</v>
      </c>
      <c r="AP116" s="72">
        <v>61</v>
      </c>
      <c r="AQ116" s="72">
        <v>26.8839111328125</v>
      </c>
      <c r="AR116" s="72">
        <v>8.1466398239135742</v>
      </c>
      <c r="AS116" s="72">
        <v>14.460285186767578</v>
      </c>
      <c r="AT116" s="72">
        <v>11.201629638671875</v>
      </c>
      <c r="AU116" s="72">
        <v>39.307537078857422</v>
      </c>
      <c r="AV116" s="72">
        <v>197</v>
      </c>
      <c r="AW116" s="72">
        <v>141</v>
      </c>
      <c r="AX116" s="72">
        <v>91</v>
      </c>
      <c r="AY116" s="72">
        <v>76</v>
      </c>
      <c r="AZ116" s="72">
        <v>6</v>
      </c>
      <c r="BA116" s="72">
        <v>41</v>
      </c>
      <c r="BB116" s="72">
        <v>38.551860809326172</v>
      </c>
      <c r="BC116" s="72">
        <v>27.592954635620117</v>
      </c>
      <c r="BD116" s="72">
        <v>17.808219909667969</v>
      </c>
      <c r="BE116" s="72">
        <v>14.872797966003418</v>
      </c>
      <c r="BF116" s="72">
        <v>1.1741683483123779</v>
      </c>
    </row>
    <row r="117" spans="1:58" x14ac:dyDescent="0.25">
      <c r="A117" s="69" t="s">
        <v>311</v>
      </c>
      <c r="B117" s="69" t="s">
        <v>312</v>
      </c>
      <c r="C117" s="70">
        <v>80</v>
      </c>
      <c r="D117" s="70">
        <v>6</v>
      </c>
      <c r="E117" s="70">
        <v>150</v>
      </c>
      <c r="F117" s="70">
        <v>93.02325439453125</v>
      </c>
      <c r="G117" s="70">
        <v>6.9767441749572754</v>
      </c>
      <c r="H117" s="70">
        <v>174</v>
      </c>
      <c r="I117" s="70">
        <v>13</v>
      </c>
      <c r="J117" s="70">
        <v>3</v>
      </c>
      <c r="K117" s="70">
        <v>5</v>
      </c>
      <c r="L117" s="70">
        <v>11</v>
      </c>
      <c r="M117" s="70">
        <v>30</v>
      </c>
      <c r="N117" s="70">
        <v>84.466018676757813</v>
      </c>
      <c r="O117" s="70">
        <v>6.3106794357299805</v>
      </c>
      <c r="P117" s="70">
        <v>1.4563106298446655</v>
      </c>
      <c r="Q117" s="70">
        <v>2.4271845817565918</v>
      </c>
      <c r="R117" s="70">
        <v>5.3398056030273438</v>
      </c>
      <c r="S117" s="70">
        <v>45</v>
      </c>
      <c r="T117" s="70">
        <v>56</v>
      </c>
      <c r="U117" s="70">
        <v>62</v>
      </c>
      <c r="V117" s="70">
        <v>58</v>
      </c>
      <c r="W117" s="70">
        <v>15</v>
      </c>
      <c r="X117" s="70">
        <v>19.06779670715332</v>
      </c>
      <c r="Y117" s="70">
        <v>23.728813171386719</v>
      </c>
      <c r="Z117" s="70">
        <v>26.271186828613281</v>
      </c>
      <c r="AA117" s="70">
        <v>24.576271057128906</v>
      </c>
      <c r="AB117" s="70">
        <v>6.3559322357177734</v>
      </c>
      <c r="AC117" s="70">
        <v>17</v>
      </c>
      <c r="AD117" s="70">
        <v>3</v>
      </c>
      <c r="AE117" s="70">
        <v>136</v>
      </c>
      <c r="AF117" s="70">
        <v>80</v>
      </c>
      <c r="AG117" s="70">
        <v>7.2033896446228027</v>
      </c>
      <c r="AH117" s="70">
        <v>1.2711864709854126</v>
      </c>
      <c r="AI117" s="70">
        <v>57.627117156982422</v>
      </c>
      <c r="AJ117" s="70">
        <v>33.898303985595703</v>
      </c>
      <c r="AK117" s="70">
        <v>28</v>
      </c>
      <c r="AL117" s="70">
        <v>17</v>
      </c>
      <c r="AM117" s="70">
        <v>28</v>
      </c>
      <c r="AN117" s="70">
        <v>15</v>
      </c>
      <c r="AO117" s="70">
        <v>107</v>
      </c>
      <c r="AP117" s="70">
        <v>41</v>
      </c>
      <c r="AQ117" s="70">
        <v>14.358974456787109</v>
      </c>
      <c r="AR117" s="70">
        <v>8.7179489135742188</v>
      </c>
      <c r="AS117" s="70">
        <v>14.358974456787109</v>
      </c>
      <c r="AT117" s="70">
        <v>7.6923074722290039</v>
      </c>
      <c r="AU117" s="70">
        <v>54.871795654296875</v>
      </c>
      <c r="AV117" s="70">
        <v>17</v>
      </c>
      <c r="AW117" s="70">
        <v>60</v>
      </c>
      <c r="AX117" s="70">
        <v>41</v>
      </c>
      <c r="AY117" s="70">
        <v>22</v>
      </c>
      <c r="AZ117" s="70">
        <v>13</v>
      </c>
      <c r="BA117" s="70">
        <v>83</v>
      </c>
      <c r="BB117" s="70">
        <v>11.111110687255859</v>
      </c>
      <c r="BC117" s="70">
        <v>39.215686798095703</v>
      </c>
      <c r="BD117" s="70">
        <v>26.797386169433594</v>
      </c>
      <c r="BE117" s="70">
        <v>14.379084587097168</v>
      </c>
      <c r="BF117" s="70">
        <v>8.4967317581176758</v>
      </c>
    </row>
    <row r="118" spans="1:58" x14ac:dyDescent="0.25">
      <c r="A118" s="71" t="s">
        <v>313</v>
      </c>
      <c r="B118" s="71" t="s">
        <v>314</v>
      </c>
      <c r="C118" s="72">
        <v>224</v>
      </c>
      <c r="D118" s="72">
        <v>13</v>
      </c>
      <c r="E118" s="72">
        <v>202</v>
      </c>
      <c r="F118" s="72">
        <v>94.5147705078125</v>
      </c>
      <c r="G118" s="72">
        <v>5.485231876373291</v>
      </c>
      <c r="H118" s="72">
        <v>422</v>
      </c>
      <c r="I118" s="72"/>
      <c r="J118" s="72">
        <v>10</v>
      </c>
      <c r="K118" s="72"/>
      <c r="L118" s="72">
        <v>2</v>
      </c>
      <c r="M118" s="72">
        <v>5</v>
      </c>
      <c r="N118" s="72">
        <v>97.235023498535156</v>
      </c>
      <c r="O118" s="72"/>
      <c r="P118" s="72">
        <v>2.304147481918335</v>
      </c>
      <c r="Q118" s="72"/>
      <c r="R118" s="72">
        <v>0.46082949638366699</v>
      </c>
      <c r="S118" s="72">
        <v>176</v>
      </c>
      <c r="T118" s="72">
        <v>102</v>
      </c>
      <c r="U118" s="72">
        <v>86</v>
      </c>
      <c r="V118" s="72">
        <v>58</v>
      </c>
      <c r="W118" s="72">
        <v>17</v>
      </c>
      <c r="X118" s="72">
        <v>40.091117858886719</v>
      </c>
      <c r="Y118" s="72">
        <v>23.234624862670898</v>
      </c>
      <c r="Z118" s="72">
        <v>19.589977264404297</v>
      </c>
      <c r="AA118" s="72">
        <v>13.211845397949219</v>
      </c>
      <c r="AB118" s="72">
        <v>3.8724372386932373</v>
      </c>
      <c r="AC118" s="72">
        <v>37</v>
      </c>
      <c r="AD118" s="72">
        <v>4</v>
      </c>
      <c r="AE118" s="72">
        <v>286</v>
      </c>
      <c r="AF118" s="72">
        <v>112</v>
      </c>
      <c r="AG118" s="72">
        <v>8.4282455444335938</v>
      </c>
      <c r="AH118" s="72">
        <v>0.91116172075271606</v>
      </c>
      <c r="AI118" s="72">
        <v>65.148063659667969</v>
      </c>
      <c r="AJ118" s="72">
        <v>25.512529373168945</v>
      </c>
      <c r="AK118" s="72">
        <v>76</v>
      </c>
      <c r="AL118" s="72">
        <v>34</v>
      </c>
      <c r="AM118" s="72">
        <v>63</v>
      </c>
      <c r="AN118" s="72">
        <v>43</v>
      </c>
      <c r="AO118" s="72">
        <v>217</v>
      </c>
      <c r="AP118" s="72">
        <v>6</v>
      </c>
      <c r="AQ118" s="72">
        <v>17.551963806152344</v>
      </c>
      <c r="AR118" s="72">
        <v>7.8521938323974609</v>
      </c>
      <c r="AS118" s="72">
        <v>14.549654006958008</v>
      </c>
      <c r="AT118" s="72">
        <v>9.9307155609130859</v>
      </c>
      <c r="AU118" s="72">
        <v>50.115474700927734</v>
      </c>
      <c r="AV118" s="72">
        <v>55</v>
      </c>
      <c r="AW118" s="72">
        <v>124</v>
      </c>
      <c r="AX118" s="72">
        <v>106</v>
      </c>
      <c r="AY118" s="72">
        <v>101</v>
      </c>
      <c r="AZ118" s="72">
        <v>37</v>
      </c>
      <c r="BA118" s="72">
        <v>16</v>
      </c>
      <c r="BB118" s="72">
        <v>13.002364158630371</v>
      </c>
      <c r="BC118" s="72">
        <v>29.314420700073242</v>
      </c>
      <c r="BD118" s="72">
        <v>25.059101104736328</v>
      </c>
      <c r="BE118" s="72">
        <v>23.877069473266602</v>
      </c>
      <c r="BF118" s="72">
        <v>8.747044563293457</v>
      </c>
    </row>
    <row r="119" spans="1:58" x14ac:dyDescent="0.25">
      <c r="A119" s="69" t="s">
        <v>315</v>
      </c>
      <c r="B119" s="69" t="s">
        <v>316</v>
      </c>
      <c r="C119" s="70">
        <v>127</v>
      </c>
      <c r="D119" s="70">
        <v>3</v>
      </c>
      <c r="E119" s="70">
        <v>83</v>
      </c>
      <c r="F119" s="70">
        <v>97.692306518554688</v>
      </c>
      <c r="G119" s="70">
        <v>2.307692289352417</v>
      </c>
      <c r="H119" s="70">
        <v>156</v>
      </c>
      <c r="I119" s="70">
        <v>11</v>
      </c>
      <c r="J119" s="70">
        <v>14</v>
      </c>
      <c r="K119" s="70">
        <v>21</v>
      </c>
      <c r="L119" s="70">
        <v>7</v>
      </c>
      <c r="M119" s="70">
        <v>4</v>
      </c>
      <c r="N119" s="70">
        <v>74.641151428222656</v>
      </c>
      <c r="O119" s="70">
        <v>5.263157844543457</v>
      </c>
      <c r="P119" s="70">
        <v>6.6985645294189453</v>
      </c>
      <c r="Q119" s="70">
        <v>10.047846794128418</v>
      </c>
      <c r="R119" s="70">
        <v>3.3492822647094727</v>
      </c>
      <c r="S119" s="70">
        <v>136</v>
      </c>
      <c r="T119" s="70">
        <v>40</v>
      </c>
      <c r="U119" s="70">
        <v>30</v>
      </c>
      <c r="V119" s="70">
        <v>7</v>
      </c>
      <c r="W119" s="70"/>
      <c r="X119" s="70">
        <v>63.849765777587891</v>
      </c>
      <c r="Y119" s="70">
        <v>18.779342651367188</v>
      </c>
      <c r="Z119" s="70">
        <v>14.084506988525391</v>
      </c>
      <c r="AA119" s="70">
        <v>3.2863850593566895</v>
      </c>
      <c r="AB119" s="70"/>
      <c r="AC119" s="70">
        <v>20</v>
      </c>
      <c r="AD119" s="70">
        <v>1</v>
      </c>
      <c r="AE119" s="70">
        <v>97</v>
      </c>
      <c r="AF119" s="70">
        <v>95</v>
      </c>
      <c r="AG119" s="70">
        <v>9.3896713256835938</v>
      </c>
      <c r="AH119" s="70">
        <v>0.46948355436325073</v>
      </c>
      <c r="AI119" s="70">
        <v>45.539905548095703</v>
      </c>
      <c r="AJ119" s="70">
        <v>44.600940704345703</v>
      </c>
      <c r="AK119" s="70">
        <v>19</v>
      </c>
      <c r="AL119" s="70">
        <v>13</v>
      </c>
      <c r="AM119" s="70">
        <v>12</v>
      </c>
      <c r="AN119" s="70">
        <v>23</v>
      </c>
      <c r="AO119" s="70">
        <v>78</v>
      </c>
      <c r="AP119" s="70">
        <v>68</v>
      </c>
      <c r="AQ119" s="70">
        <v>13.103447914123535</v>
      </c>
      <c r="AR119" s="70">
        <v>8.9655170440673828</v>
      </c>
      <c r="AS119" s="70">
        <v>8.2758617401123047</v>
      </c>
      <c r="AT119" s="70">
        <v>15.862069129943848</v>
      </c>
      <c r="AU119" s="70">
        <v>53.793102264404297</v>
      </c>
      <c r="AV119" s="70">
        <v>32</v>
      </c>
      <c r="AW119" s="70">
        <v>71</v>
      </c>
      <c r="AX119" s="70">
        <v>34</v>
      </c>
      <c r="AY119" s="70">
        <v>36</v>
      </c>
      <c r="AZ119" s="70">
        <v>10</v>
      </c>
      <c r="BA119" s="70">
        <v>30</v>
      </c>
      <c r="BB119" s="70">
        <v>17.486339569091797</v>
      </c>
      <c r="BC119" s="70">
        <v>38.797813415527344</v>
      </c>
      <c r="BD119" s="70">
        <v>18.579235076904297</v>
      </c>
      <c r="BE119" s="70">
        <v>19.672130584716797</v>
      </c>
      <c r="BF119" s="70">
        <v>5.4644808769226074</v>
      </c>
    </row>
    <row r="120" spans="1:58" x14ac:dyDescent="0.25">
      <c r="A120" s="71" t="s">
        <v>317</v>
      </c>
      <c r="B120" s="71" t="s">
        <v>318</v>
      </c>
      <c r="C120" s="72">
        <v>45</v>
      </c>
      <c r="D120" s="72">
        <v>1</v>
      </c>
      <c r="E120" s="72">
        <v>302</v>
      </c>
      <c r="F120" s="72">
        <v>97.826087951660156</v>
      </c>
      <c r="G120" s="72">
        <v>2.1739130020141602</v>
      </c>
      <c r="H120" s="72">
        <v>320</v>
      </c>
      <c r="I120" s="72">
        <v>5</v>
      </c>
      <c r="J120" s="72">
        <v>6</v>
      </c>
      <c r="K120" s="72">
        <v>2</v>
      </c>
      <c r="L120" s="72">
        <v>5</v>
      </c>
      <c r="M120" s="72">
        <v>10</v>
      </c>
      <c r="N120" s="72">
        <v>94.674552917480469</v>
      </c>
      <c r="O120" s="72">
        <v>1.4792898893356323</v>
      </c>
      <c r="P120" s="72">
        <v>1.7751479148864746</v>
      </c>
      <c r="Q120" s="72">
        <v>0.59171599149703979</v>
      </c>
      <c r="R120" s="72">
        <v>1.4792898893356323</v>
      </c>
      <c r="S120" s="72">
        <v>134</v>
      </c>
      <c r="T120" s="72">
        <v>74</v>
      </c>
      <c r="U120" s="72">
        <v>56</v>
      </c>
      <c r="V120" s="72">
        <v>63</v>
      </c>
      <c r="W120" s="72">
        <v>21</v>
      </c>
      <c r="X120" s="72">
        <v>38.505748748779297</v>
      </c>
      <c r="Y120" s="72">
        <v>21.264368057250977</v>
      </c>
      <c r="Z120" s="72">
        <v>16.091953277587891</v>
      </c>
      <c r="AA120" s="72">
        <v>18.103448867797852</v>
      </c>
      <c r="AB120" s="72">
        <v>6.0344829559326172</v>
      </c>
      <c r="AC120" s="72">
        <v>32</v>
      </c>
      <c r="AD120" s="72">
        <v>6</v>
      </c>
      <c r="AE120" s="72">
        <v>200</v>
      </c>
      <c r="AF120" s="72">
        <v>110</v>
      </c>
      <c r="AG120" s="72">
        <v>9.1954021453857422</v>
      </c>
      <c r="AH120" s="72">
        <v>1.7241379022598267</v>
      </c>
      <c r="AI120" s="72">
        <v>57.471263885498047</v>
      </c>
      <c r="AJ120" s="72">
        <v>31.609195709228516</v>
      </c>
      <c r="AK120" s="72">
        <v>91</v>
      </c>
      <c r="AL120" s="72">
        <v>28</v>
      </c>
      <c r="AM120" s="72">
        <v>24</v>
      </c>
      <c r="AN120" s="72">
        <v>27</v>
      </c>
      <c r="AO120" s="72">
        <v>101</v>
      </c>
      <c r="AP120" s="72">
        <v>77</v>
      </c>
      <c r="AQ120" s="72">
        <v>33.579334259033203</v>
      </c>
      <c r="AR120" s="72">
        <v>10.332103729248047</v>
      </c>
      <c r="AS120" s="72">
        <v>8.8560886383056641</v>
      </c>
      <c r="AT120" s="72">
        <v>9.963099479675293</v>
      </c>
      <c r="AU120" s="72">
        <v>37.269371032714844</v>
      </c>
      <c r="AV120" s="72">
        <v>77</v>
      </c>
      <c r="AW120" s="72">
        <v>83</v>
      </c>
      <c r="AX120" s="72">
        <v>55</v>
      </c>
      <c r="AY120" s="72">
        <v>35</v>
      </c>
      <c r="AZ120" s="72">
        <v>18</v>
      </c>
      <c r="BA120" s="72">
        <v>80</v>
      </c>
      <c r="BB120" s="72">
        <v>28.731344223022461</v>
      </c>
      <c r="BC120" s="72">
        <v>30.970149993896484</v>
      </c>
      <c r="BD120" s="72">
        <v>20.522388458251953</v>
      </c>
      <c r="BE120" s="72">
        <v>13.059701919555664</v>
      </c>
      <c r="BF120" s="72">
        <v>6.7164177894592285</v>
      </c>
    </row>
    <row r="121" spans="1:58" x14ac:dyDescent="0.25">
      <c r="A121" s="69" t="s">
        <v>319</v>
      </c>
      <c r="B121" s="69" t="s">
        <v>320</v>
      </c>
      <c r="C121" s="70">
        <v>32</v>
      </c>
      <c r="D121" s="70">
        <v>3</v>
      </c>
      <c r="E121" s="70">
        <v>197</v>
      </c>
      <c r="F121" s="70">
        <v>91.428573608398438</v>
      </c>
      <c r="G121" s="70">
        <v>8.5714282989501953</v>
      </c>
      <c r="H121" s="70">
        <v>214</v>
      </c>
      <c r="I121" s="70">
        <v>3</v>
      </c>
      <c r="J121" s="70">
        <v>6</v>
      </c>
      <c r="K121" s="70">
        <v>1</v>
      </c>
      <c r="L121" s="70">
        <v>1</v>
      </c>
      <c r="M121" s="70">
        <v>7</v>
      </c>
      <c r="N121" s="70">
        <v>95.111114501953125</v>
      </c>
      <c r="O121" s="70">
        <v>1.3333333730697632</v>
      </c>
      <c r="P121" s="70">
        <v>2.6666667461395264</v>
      </c>
      <c r="Q121" s="70">
        <v>0.4444444477558136</v>
      </c>
      <c r="R121" s="70">
        <v>0.4444444477558136</v>
      </c>
      <c r="S121" s="70">
        <v>61</v>
      </c>
      <c r="T121" s="70">
        <v>51</v>
      </c>
      <c r="U121" s="70">
        <v>35</v>
      </c>
      <c r="V121" s="70">
        <v>43</v>
      </c>
      <c r="W121" s="70">
        <v>42</v>
      </c>
      <c r="X121" s="70">
        <v>26.29310417175293</v>
      </c>
      <c r="Y121" s="70">
        <v>21.982759475708008</v>
      </c>
      <c r="Z121" s="70">
        <v>15.086206436157227</v>
      </c>
      <c r="AA121" s="70">
        <v>18.534482955932617</v>
      </c>
      <c r="AB121" s="70">
        <v>18.103448867797852</v>
      </c>
      <c r="AC121" s="70">
        <v>16</v>
      </c>
      <c r="AD121" s="70">
        <v>1</v>
      </c>
      <c r="AE121" s="70">
        <v>119</v>
      </c>
      <c r="AF121" s="70">
        <v>96</v>
      </c>
      <c r="AG121" s="70">
        <v>6.8965516090393066</v>
      </c>
      <c r="AH121" s="70">
        <v>0.43103447556495667</v>
      </c>
      <c r="AI121" s="70">
        <v>51.293102264404297</v>
      </c>
      <c r="AJ121" s="70">
        <v>41.379310607910156</v>
      </c>
      <c r="AK121" s="70">
        <v>27</v>
      </c>
      <c r="AL121" s="70">
        <v>7</v>
      </c>
      <c r="AM121" s="70">
        <v>32</v>
      </c>
      <c r="AN121" s="70">
        <v>26</v>
      </c>
      <c r="AO121" s="70">
        <v>76</v>
      </c>
      <c r="AP121" s="70">
        <v>64</v>
      </c>
      <c r="AQ121" s="70">
        <v>16.071428298950195</v>
      </c>
      <c r="AR121" s="70">
        <v>4.1666665077209473</v>
      </c>
      <c r="AS121" s="70">
        <v>19.047618865966797</v>
      </c>
      <c r="AT121" s="70">
        <v>15.476190567016602</v>
      </c>
      <c r="AU121" s="70">
        <v>45.238094329833984</v>
      </c>
      <c r="AV121" s="70">
        <v>15</v>
      </c>
      <c r="AW121" s="70">
        <v>45</v>
      </c>
      <c r="AX121" s="70">
        <v>25</v>
      </c>
      <c r="AY121" s="70">
        <v>26</v>
      </c>
      <c r="AZ121" s="70">
        <v>9</v>
      </c>
      <c r="BA121" s="70">
        <v>112</v>
      </c>
      <c r="BB121" s="70">
        <v>12.5</v>
      </c>
      <c r="BC121" s="70">
        <v>37.5</v>
      </c>
      <c r="BD121" s="70">
        <v>20.833333969116211</v>
      </c>
      <c r="BE121" s="70">
        <v>21.666666030883789</v>
      </c>
      <c r="BF121" s="70">
        <v>7.5</v>
      </c>
    </row>
    <row r="122" spans="1:58" x14ac:dyDescent="0.25">
      <c r="A122" s="71" t="s">
        <v>321</v>
      </c>
      <c r="B122" s="71" t="s">
        <v>322</v>
      </c>
      <c r="C122" s="72">
        <v>392</v>
      </c>
      <c r="D122" s="72">
        <v>22</v>
      </c>
      <c r="E122" s="72">
        <v>29</v>
      </c>
      <c r="F122" s="72">
        <v>94.685989379882813</v>
      </c>
      <c r="G122" s="72">
        <v>5.3140096664428711</v>
      </c>
      <c r="H122" s="72">
        <v>429</v>
      </c>
      <c r="I122" s="72">
        <v>4</v>
      </c>
      <c r="J122" s="72">
        <v>4</v>
      </c>
      <c r="K122" s="72">
        <v>1</v>
      </c>
      <c r="L122" s="72">
        <v>1</v>
      </c>
      <c r="M122" s="72">
        <v>4</v>
      </c>
      <c r="N122" s="72">
        <v>97.722099304199219</v>
      </c>
      <c r="O122" s="72">
        <v>0.91116172075271606</v>
      </c>
      <c r="P122" s="72">
        <v>0.91116172075271606</v>
      </c>
      <c r="Q122" s="72">
        <v>0.22779043018817902</v>
      </c>
      <c r="R122" s="72">
        <v>0.22779043018817902</v>
      </c>
      <c r="S122" s="72">
        <v>173</v>
      </c>
      <c r="T122" s="72">
        <v>123</v>
      </c>
      <c r="U122" s="72">
        <v>65</v>
      </c>
      <c r="V122" s="72">
        <v>44</v>
      </c>
      <c r="W122" s="72">
        <v>38</v>
      </c>
      <c r="X122" s="72">
        <v>39.051918029785156</v>
      </c>
      <c r="Y122" s="72">
        <v>27.765237808227539</v>
      </c>
      <c r="Z122" s="72">
        <v>14.672686576843262</v>
      </c>
      <c r="AA122" s="72">
        <v>9.9322795867919922</v>
      </c>
      <c r="AB122" s="72">
        <v>8.5778779983520508</v>
      </c>
      <c r="AC122" s="72">
        <v>37</v>
      </c>
      <c r="AD122" s="72">
        <v>10</v>
      </c>
      <c r="AE122" s="72">
        <v>242</v>
      </c>
      <c r="AF122" s="72">
        <v>154</v>
      </c>
      <c r="AG122" s="72">
        <v>8.3521442413330078</v>
      </c>
      <c r="AH122" s="72">
        <v>2.2573363780975342</v>
      </c>
      <c r="AI122" s="72">
        <v>54.627540588378906</v>
      </c>
      <c r="AJ122" s="72">
        <v>34.762981414794922</v>
      </c>
      <c r="AK122" s="72">
        <v>119</v>
      </c>
      <c r="AL122" s="72">
        <v>41</v>
      </c>
      <c r="AM122" s="72">
        <v>42</v>
      </c>
      <c r="AN122" s="72">
        <v>36</v>
      </c>
      <c r="AO122" s="72">
        <v>185</v>
      </c>
      <c r="AP122" s="72">
        <v>20</v>
      </c>
      <c r="AQ122" s="72">
        <v>28.132387161254883</v>
      </c>
      <c r="AR122" s="72">
        <v>9.6926717758178711</v>
      </c>
      <c r="AS122" s="72">
        <v>9.9290781021118164</v>
      </c>
      <c r="AT122" s="72">
        <v>8.5106382369995117</v>
      </c>
      <c r="AU122" s="72">
        <v>43.735225677490234</v>
      </c>
      <c r="AV122" s="72">
        <v>88</v>
      </c>
      <c r="AW122" s="72">
        <v>144</v>
      </c>
      <c r="AX122" s="72">
        <v>100</v>
      </c>
      <c r="AY122" s="72">
        <v>88</v>
      </c>
      <c r="AZ122" s="72">
        <v>6</v>
      </c>
      <c r="BA122" s="72">
        <v>17</v>
      </c>
      <c r="BB122" s="72">
        <v>20.657276153564453</v>
      </c>
      <c r="BC122" s="72">
        <v>33.802818298339844</v>
      </c>
      <c r="BD122" s="72">
        <v>23.474178314208984</v>
      </c>
      <c r="BE122" s="72">
        <v>20.657276153564453</v>
      </c>
      <c r="BF122" s="72">
        <v>1.408450722694397</v>
      </c>
    </row>
    <row r="123" spans="1:58" x14ac:dyDescent="0.25">
      <c r="A123" s="69" t="s">
        <v>323</v>
      </c>
      <c r="B123" s="69" t="s">
        <v>324</v>
      </c>
      <c r="C123" s="70">
        <v>113</v>
      </c>
      <c r="D123" s="70">
        <v>13</v>
      </c>
      <c r="E123" s="70">
        <v>68</v>
      </c>
      <c r="F123" s="70">
        <v>89.682540893554688</v>
      </c>
      <c r="G123" s="70">
        <v>10.317460060119629</v>
      </c>
      <c r="H123" s="70">
        <v>182</v>
      </c>
      <c r="I123" s="70">
        <v>1</v>
      </c>
      <c r="J123" s="70">
        <v>2</v>
      </c>
      <c r="K123" s="70">
        <v>4</v>
      </c>
      <c r="L123" s="70">
        <v>2</v>
      </c>
      <c r="M123" s="70">
        <v>3</v>
      </c>
      <c r="N123" s="70">
        <v>95.287956237792969</v>
      </c>
      <c r="O123" s="70">
        <v>0.52356022596359253</v>
      </c>
      <c r="P123" s="70">
        <v>1.0471204519271851</v>
      </c>
      <c r="Q123" s="70">
        <v>2.0942409038543701</v>
      </c>
      <c r="R123" s="70">
        <v>1.0471204519271851</v>
      </c>
      <c r="S123" s="70">
        <v>1</v>
      </c>
      <c r="T123" s="70">
        <v>19</v>
      </c>
      <c r="U123" s="70">
        <v>39</v>
      </c>
      <c r="V123" s="70">
        <v>41</v>
      </c>
      <c r="W123" s="70">
        <v>94</v>
      </c>
      <c r="X123" s="70">
        <v>0.51546388864517212</v>
      </c>
      <c r="Y123" s="70">
        <v>9.7938146591186523</v>
      </c>
      <c r="Z123" s="70">
        <v>20.103092193603516</v>
      </c>
      <c r="AA123" s="70">
        <v>21.13401985168457</v>
      </c>
      <c r="AB123" s="70">
        <v>48.453609466552734</v>
      </c>
      <c r="AC123" s="70">
        <v>17</v>
      </c>
      <c r="AD123" s="70">
        <v>3</v>
      </c>
      <c r="AE123" s="70">
        <v>164</v>
      </c>
      <c r="AF123" s="70">
        <v>10</v>
      </c>
      <c r="AG123" s="70">
        <v>8.7628870010375977</v>
      </c>
      <c r="AH123" s="70">
        <v>1.5463917255401611</v>
      </c>
      <c r="AI123" s="70">
        <v>84.536079406738281</v>
      </c>
      <c r="AJ123" s="70">
        <v>5.1546392440795898</v>
      </c>
      <c r="AK123" s="70">
        <v>29</v>
      </c>
      <c r="AL123" s="70">
        <v>16</v>
      </c>
      <c r="AM123" s="70">
        <v>22</v>
      </c>
      <c r="AN123" s="70">
        <v>9</v>
      </c>
      <c r="AO123" s="70">
        <v>88</v>
      </c>
      <c r="AP123" s="70">
        <v>30</v>
      </c>
      <c r="AQ123" s="70">
        <v>17.682926177978516</v>
      </c>
      <c r="AR123" s="70">
        <v>9.7560977935791016</v>
      </c>
      <c r="AS123" s="70">
        <v>13.414633750915527</v>
      </c>
      <c r="AT123" s="70">
        <v>5.4878048896789551</v>
      </c>
      <c r="AU123" s="70">
        <v>53.658535003662109</v>
      </c>
      <c r="AV123" s="70">
        <v>28</v>
      </c>
      <c r="AW123" s="70">
        <v>56</v>
      </c>
      <c r="AX123" s="70">
        <v>23</v>
      </c>
      <c r="AY123" s="70">
        <v>27</v>
      </c>
      <c r="AZ123" s="70">
        <v>11</v>
      </c>
      <c r="BA123" s="70">
        <v>49</v>
      </c>
      <c r="BB123" s="70">
        <v>19.310344696044922</v>
      </c>
      <c r="BC123" s="70">
        <v>38.620689392089844</v>
      </c>
      <c r="BD123" s="70">
        <v>15.862069129943848</v>
      </c>
      <c r="BE123" s="70">
        <v>18.620689392089844</v>
      </c>
      <c r="BF123" s="70">
        <v>7.5862069129943848</v>
      </c>
    </row>
    <row r="124" spans="1:58" x14ac:dyDescent="0.25">
      <c r="A124" s="71" t="s">
        <v>325</v>
      </c>
      <c r="B124" s="71" t="s">
        <v>326</v>
      </c>
      <c r="C124" s="72">
        <v>280</v>
      </c>
      <c r="D124" s="72">
        <v>11</v>
      </c>
      <c r="E124" s="72">
        <v>35</v>
      </c>
      <c r="F124" s="72">
        <v>96.219932556152344</v>
      </c>
      <c r="G124" s="72">
        <v>3.7800686359405518</v>
      </c>
      <c r="H124" s="72">
        <v>312</v>
      </c>
      <c r="I124" s="72"/>
      <c r="J124" s="72">
        <v>10</v>
      </c>
      <c r="K124" s="72"/>
      <c r="L124" s="72">
        <v>1</v>
      </c>
      <c r="M124" s="72">
        <v>3</v>
      </c>
      <c r="N124" s="72">
        <v>96.594429016113281</v>
      </c>
      <c r="O124" s="72"/>
      <c r="P124" s="72">
        <v>3.0959751605987549</v>
      </c>
      <c r="Q124" s="72"/>
      <c r="R124" s="72">
        <v>0.30959752202033997</v>
      </c>
      <c r="S124" s="72">
        <v>149</v>
      </c>
      <c r="T124" s="72">
        <v>80</v>
      </c>
      <c r="U124" s="72">
        <v>25</v>
      </c>
      <c r="V124" s="72">
        <v>47</v>
      </c>
      <c r="W124" s="72">
        <v>25</v>
      </c>
      <c r="X124" s="72">
        <v>45.705520629882813</v>
      </c>
      <c r="Y124" s="72">
        <v>24.539876937866211</v>
      </c>
      <c r="Z124" s="72">
        <v>7.6687116622924805</v>
      </c>
      <c r="AA124" s="72">
        <v>14.417178153991699</v>
      </c>
      <c r="AB124" s="72">
        <v>7.6687116622924805</v>
      </c>
      <c r="AC124" s="72">
        <v>22</v>
      </c>
      <c r="AD124" s="72">
        <v>2</v>
      </c>
      <c r="AE124" s="72">
        <v>155</v>
      </c>
      <c r="AF124" s="72">
        <v>147</v>
      </c>
      <c r="AG124" s="72">
        <v>6.7484664916992188</v>
      </c>
      <c r="AH124" s="72">
        <v>0.61349695920944214</v>
      </c>
      <c r="AI124" s="72">
        <v>47.546012878417969</v>
      </c>
      <c r="AJ124" s="72">
        <v>45.092025756835938</v>
      </c>
      <c r="AK124" s="72">
        <v>54</v>
      </c>
      <c r="AL124" s="72">
        <v>25</v>
      </c>
      <c r="AM124" s="72">
        <v>41</v>
      </c>
      <c r="AN124" s="72">
        <v>39</v>
      </c>
      <c r="AO124" s="72">
        <v>156</v>
      </c>
      <c r="AP124" s="72">
        <v>11</v>
      </c>
      <c r="AQ124" s="72">
        <v>17.142856597900391</v>
      </c>
      <c r="AR124" s="72">
        <v>7.9365077018737793</v>
      </c>
      <c r="AS124" s="72">
        <v>13.015872955322266</v>
      </c>
      <c r="AT124" s="72">
        <v>12.380952835083008</v>
      </c>
      <c r="AU124" s="72">
        <v>49.523811340332031</v>
      </c>
      <c r="AV124" s="72">
        <v>53</v>
      </c>
      <c r="AW124" s="72">
        <v>108</v>
      </c>
      <c r="AX124" s="72">
        <v>33</v>
      </c>
      <c r="AY124" s="72">
        <v>64</v>
      </c>
      <c r="AZ124" s="72">
        <v>44</v>
      </c>
      <c r="BA124" s="72">
        <v>24</v>
      </c>
      <c r="BB124" s="72">
        <v>17.54966926574707</v>
      </c>
      <c r="BC124" s="72">
        <v>35.761589050292969</v>
      </c>
      <c r="BD124" s="72">
        <v>10.927152633666992</v>
      </c>
      <c r="BE124" s="72">
        <v>21.192052841186523</v>
      </c>
      <c r="BF124" s="72">
        <v>14.569536209106445</v>
      </c>
    </row>
    <row r="125" spans="1:58" x14ac:dyDescent="0.25">
      <c r="A125" s="69" t="s">
        <v>327</v>
      </c>
      <c r="B125" s="69" t="s">
        <v>328</v>
      </c>
      <c r="C125" s="70">
        <v>100</v>
      </c>
      <c r="D125" s="70">
        <v>8</v>
      </c>
      <c r="E125" s="70">
        <v>128</v>
      </c>
      <c r="F125" s="70">
        <v>92.59259033203125</v>
      </c>
      <c r="G125" s="70">
        <v>7.407407283782959</v>
      </c>
      <c r="H125" s="70">
        <v>221</v>
      </c>
      <c r="I125" s="70">
        <v>6</v>
      </c>
      <c r="J125" s="70">
        <v>4</v>
      </c>
      <c r="K125" s="70"/>
      <c r="L125" s="70">
        <v>1</v>
      </c>
      <c r="M125" s="70">
        <v>4</v>
      </c>
      <c r="N125" s="70">
        <v>95.258621215820313</v>
      </c>
      <c r="O125" s="70">
        <v>2.5862069129943848</v>
      </c>
      <c r="P125" s="70">
        <v>1.7241379022598267</v>
      </c>
      <c r="Q125" s="70"/>
      <c r="R125" s="70">
        <v>0.43103447556495667</v>
      </c>
      <c r="S125" s="70">
        <v>49</v>
      </c>
      <c r="T125" s="70">
        <v>59</v>
      </c>
      <c r="U125" s="70">
        <v>57</v>
      </c>
      <c r="V125" s="70">
        <v>46</v>
      </c>
      <c r="W125" s="70">
        <v>25</v>
      </c>
      <c r="X125" s="70">
        <v>20.762712478637695</v>
      </c>
      <c r="Y125" s="70">
        <v>25</v>
      </c>
      <c r="Z125" s="70">
        <v>24.152542114257813</v>
      </c>
      <c r="AA125" s="70">
        <v>19.491525650024414</v>
      </c>
      <c r="AB125" s="70">
        <v>10.593220710754395</v>
      </c>
      <c r="AC125" s="70">
        <v>27</v>
      </c>
      <c r="AD125" s="70">
        <v>1</v>
      </c>
      <c r="AE125" s="70">
        <v>147</v>
      </c>
      <c r="AF125" s="70">
        <v>61</v>
      </c>
      <c r="AG125" s="70">
        <v>11.440677642822266</v>
      </c>
      <c r="AH125" s="70">
        <v>0.4237288236618042</v>
      </c>
      <c r="AI125" s="70">
        <v>62.288135528564453</v>
      </c>
      <c r="AJ125" s="70">
        <v>25.847457885742188</v>
      </c>
      <c r="AK125" s="70">
        <v>35</v>
      </c>
      <c r="AL125" s="70">
        <v>21</v>
      </c>
      <c r="AM125" s="70">
        <v>22</v>
      </c>
      <c r="AN125" s="70">
        <v>27</v>
      </c>
      <c r="AO125" s="70">
        <v>101</v>
      </c>
      <c r="AP125" s="70">
        <v>30</v>
      </c>
      <c r="AQ125" s="70">
        <v>16.990291595458984</v>
      </c>
      <c r="AR125" s="70">
        <v>10.194174766540527</v>
      </c>
      <c r="AS125" s="70">
        <v>10.679611206054688</v>
      </c>
      <c r="AT125" s="70">
        <v>13.106796264648438</v>
      </c>
      <c r="AU125" s="70">
        <v>49.029125213623047</v>
      </c>
      <c r="AV125" s="70">
        <v>69</v>
      </c>
      <c r="AW125" s="70">
        <v>69</v>
      </c>
      <c r="AX125" s="70">
        <v>47</v>
      </c>
      <c r="AY125" s="70">
        <v>33</v>
      </c>
      <c r="AZ125" s="70">
        <v>14</v>
      </c>
      <c r="BA125" s="70">
        <v>4</v>
      </c>
      <c r="BB125" s="70">
        <v>29.741378784179688</v>
      </c>
      <c r="BC125" s="70">
        <v>29.741378784179688</v>
      </c>
      <c r="BD125" s="70">
        <v>20.258621215820313</v>
      </c>
      <c r="BE125" s="70">
        <v>14.224138259887695</v>
      </c>
      <c r="BF125" s="70">
        <v>6.0344829559326172</v>
      </c>
    </row>
    <row r="126" spans="1:58" x14ac:dyDescent="0.25">
      <c r="A126" s="71" t="s">
        <v>329</v>
      </c>
      <c r="B126" s="71" t="s">
        <v>330</v>
      </c>
      <c r="C126" s="72"/>
      <c r="D126" s="72">
        <v>1</v>
      </c>
      <c r="E126" s="72">
        <v>263</v>
      </c>
      <c r="F126" s="72"/>
      <c r="G126" s="72"/>
      <c r="H126" s="72">
        <v>160</v>
      </c>
      <c r="I126" s="72">
        <v>16</v>
      </c>
      <c r="J126" s="72">
        <v>21</v>
      </c>
      <c r="K126" s="72">
        <v>20</v>
      </c>
      <c r="L126" s="72">
        <v>37</v>
      </c>
      <c r="M126" s="72">
        <v>10</v>
      </c>
      <c r="N126" s="72">
        <v>62.99212646484375</v>
      </c>
      <c r="O126" s="72">
        <v>6.2992124557495117</v>
      </c>
      <c r="P126" s="72">
        <v>8.2677164077758789</v>
      </c>
      <c r="Q126" s="72">
        <v>7.8740158081054688</v>
      </c>
      <c r="R126" s="72">
        <v>14.566928863525391</v>
      </c>
      <c r="S126" s="72">
        <v>64</v>
      </c>
      <c r="T126" s="72">
        <v>96</v>
      </c>
      <c r="U126" s="72">
        <v>54</v>
      </c>
      <c r="V126" s="72">
        <v>37</v>
      </c>
      <c r="W126" s="72">
        <v>13</v>
      </c>
      <c r="X126" s="72">
        <v>24.242424011230469</v>
      </c>
      <c r="Y126" s="72">
        <v>36.363636016845703</v>
      </c>
      <c r="Z126" s="72">
        <v>20.454545974731445</v>
      </c>
      <c r="AA126" s="72">
        <v>14.015151977539063</v>
      </c>
      <c r="AB126" s="72">
        <v>4.9242424964904785</v>
      </c>
      <c r="AC126" s="72">
        <v>21</v>
      </c>
      <c r="AD126" s="72">
        <v>3</v>
      </c>
      <c r="AE126" s="72">
        <v>159</v>
      </c>
      <c r="AF126" s="72">
        <v>81</v>
      </c>
      <c r="AG126" s="72">
        <v>7.9545454978942871</v>
      </c>
      <c r="AH126" s="72">
        <v>1.1363636255264282</v>
      </c>
      <c r="AI126" s="72">
        <v>60.227272033691406</v>
      </c>
      <c r="AJ126" s="72">
        <v>30.681818008422852</v>
      </c>
      <c r="AK126" s="72">
        <v>71</v>
      </c>
      <c r="AL126" s="72">
        <v>19</v>
      </c>
      <c r="AM126" s="72">
        <v>26</v>
      </c>
      <c r="AN126" s="72">
        <v>23</v>
      </c>
      <c r="AO126" s="72">
        <v>105</v>
      </c>
      <c r="AP126" s="72">
        <v>20</v>
      </c>
      <c r="AQ126" s="72">
        <v>29.098360061645508</v>
      </c>
      <c r="AR126" s="72">
        <v>7.7868852615356445</v>
      </c>
      <c r="AS126" s="72">
        <v>10.65573787689209</v>
      </c>
      <c r="AT126" s="72">
        <v>9.4262294769287109</v>
      </c>
      <c r="AU126" s="72">
        <v>43.032787322998047</v>
      </c>
      <c r="AV126" s="72">
        <v>97</v>
      </c>
      <c r="AW126" s="72">
        <v>56</v>
      </c>
      <c r="AX126" s="72">
        <v>30</v>
      </c>
      <c r="AY126" s="72">
        <v>43</v>
      </c>
      <c r="AZ126" s="72">
        <v>7</v>
      </c>
      <c r="BA126" s="72">
        <v>31</v>
      </c>
      <c r="BB126" s="72">
        <v>41.630901336669922</v>
      </c>
      <c r="BC126" s="72">
        <v>24.034334182739258</v>
      </c>
      <c r="BD126" s="72">
        <v>12.875536918640137</v>
      </c>
      <c r="BE126" s="72">
        <v>18.454935073852539</v>
      </c>
      <c r="BF126" s="72">
        <v>3.0042917728424072</v>
      </c>
    </row>
    <row r="127" spans="1:58" x14ac:dyDescent="0.25">
      <c r="A127" s="75" t="s">
        <v>331</v>
      </c>
      <c r="B127" s="75" t="s">
        <v>631</v>
      </c>
      <c r="C127" s="76">
        <v>351</v>
      </c>
      <c r="D127" s="76">
        <v>31</v>
      </c>
      <c r="E127" s="76">
        <v>200</v>
      </c>
      <c r="F127" s="76">
        <v>91.884819030761719</v>
      </c>
      <c r="G127" s="76">
        <v>8.1151828765869141</v>
      </c>
      <c r="H127" s="76">
        <v>491</v>
      </c>
      <c r="I127" s="76">
        <v>18</v>
      </c>
      <c r="J127" s="76">
        <v>15</v>
      </c>
      <c r="K127" s="76">
        <v>8</v>
      </c>
      <c r="L127" s="76">
        <v>19</v>
      </c>
      <c r="M127" s="76">
        <v>31</v>
      </c>
      <c r="N127" s="76">
        <v>89.110710144042969</v>
      </c>
      <c r="O127" s="76">
        <v>3.2667877674102783</v>
      </c>
      <c r="P127" s="76">
        <v>2.722322940826416</v>
      </c>
      <c r="Q127" s="76">
        <v>1.4519056081771851</v>
      </c>
      <c r="R127" s="76">
        <v>3.4482758045196533</v>
      </c>
      <c r="S127" s="76">
        <v>60</v>
      </c>
      <c r="T127" s="76">
        <v>88</v>
      </c>
      <c r="U127" s="76">
        <v>163</v>
      </c>
      <c r="V127" s="76">
        <v>156</v>
      </c>
      <c r="W127" s="76">
        <v>115</v>
      </c>
      <c r="X127" s="76">
        <v>10.30927848815918</v>
      </c>
      <c r="Y127" s="76">
        <v>15.120274543762207</v>
      </c>
      <c r="Z127" s="76">
        <v>28.006872177124023</v>
      </c>
      <c r="AA127" s="76">
        <v>26.804122924804688</v>
      </c>
      <c r="AB127" s="76">
        <v>19.759450912475586</v>
      </c>
      <c r="AC127" s="76">
        <v>36</v>
      </c>
      <c r="AD127" s="76">
        <v>7</v>
      </c>
      <c r="AE127" s="76">
        <v>268</v>
      </c>
      <c r="AF127" s="76">
        <v>271</v>
      </c>
      <c r="AG127" s="76">
        <v>6.1855669021606445</v>
      </c>
      <c r="AH127" s="76">
        <v>1.2027491331100464</v>
      </c>
      <c r="AI127" s="76">
        <v>46.048110961914063</v>
      </c>
      <c r="AJ127" s="76">
        <v>46.563575744628906</v>
      </c>
      <c r="AK127" s="76">
        <v>99</v>
      </c>
      <c r="AL127" s="76">
        <v>41</v>
      </c>
      <c r="AM127" s="76">
        <v>82</v>
      </c>
      <c r="AN127" s="76">
        <v>45</v>
      </c>
      <c r="AO127" s="76">
        <v>249</v>
      </c>
      <c r="AP127" s="76">
        <v>66</v>
      </c>
      <c r="AQ127" s="76">
        <v>19.186046600341797</v>
      </c>
      <c r="AR127" s="76">
        <v>7.9457364082336426</v>
      </c>
      <c r="AS127" s="76">
        <v>15.891472816467285</v>
      </c>
      <c r="AT127" s="76">
        <v>8.7209300994873047</v>
      </c>
      <c r="AU127" s="76">
        <v>48.255813598632813</v>
      </c>
      <c r="AV127" s="76">
        <v>113</v>
      </c>
      <c r="AW127" s="76">
        <v>183</v>
      </c>
      <c r="AX127" s="76">
        <v>111</v>
      </c>
      <c r="AY127" s="76">
        <v>107</v>
      </c>
      <c r="AZ127" s="76">
        <v>24</v>
      </c>
      <c r="BA127" s="76">
        <v>44</v>
      </c>
      <c r="BB127" s="76">
        <v>21.003717422485352</v>
      </c>
      <c r="BC127" s="76">
        <v>34.014869689941406</v>
      </c>
      <c r="BD127" s="76">
        <v>20.631969451904297</v>
      </c>
      <c r="BE127" s="76">
        <v>19.88847541809082</v>
      </c>
      <c r="BF127" s="76">
        <v>4.4609665870666504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BF22"/>
  <sheetViews>
    <sheetView workbookViewId="0">
      <selection activeCell="A21" sqref="A21"/>
    </sheetView>
  </sheetViews>
  <sheetFormatPr defaultRowHeight="15" x14ac:dyDescent="0.25"/>
  <cols>
    <col min="1" max="1" width="14.42578125" customWidth="1"/>
    <col min="2" max="2" width="39" bestFit="1" customWidth="1"/>
    <col min="3" max="3" width="11.85546875" customWidth="1"/>
    <col min="4" max="4" width="7.42578125" customWidth="1"/>
    <col min="5" max="5" width="16" customWidth="1"/>
    <col min="6" max="6" width="13.85546875" customWidth="1"/>
    <col min="7" max="7" width="9.42578125" customWidth="1"/>
    <col min="8" max="8" width="7.42578125" customWidth="1"/>
    <col min="9" max="9" width="8.140625" customWidth="1"/>
    <col min="10" max="11" width="7.5703125" customWidth="1"/>
    <col min="12" max="12" width="7.28515625" customWidth="1"/>
    <col min="13" max="13" width="15" customWidth="1"/>
    <col min="14" max="14" width="9.42578125" customWidth="1"/>
    <col min="15" max="15" width="10.140625" customWidth="1"/>
    <col min="16" max="17" width="9.5703125" customWidth="1"/>
    <col min="18" max="18" width="9.28515625" customWidth="1"/>
    <col min="19" max="19" width="10.140625" customWidth="1"/>
    <col min="20" max="22" width="7.140625" customWidth="1"/>
    <col min="23" max="23" width="10.28515625" customWidth="1"/>
    <col min="24" max="24" width="12.140625" customWidth="1"/>
    <col min="25" max="26" width="9.140625" customWidth="1"/>
    <col min="27" max="27" width="9.140625" style="4" customWidth="1"/>
    <col min="28" max="28" width="12.28515625" customWidth="1"/>
    <col min="29" max="29" width="6.5703125" customWidth="1"/>
    <col min="30" max="30" width="10.5703125" customWidth="1"/>
    <col min="31" max="31" width="7.5703125" customWidth="1"/>
    <col min="32" max="32" width="14.7109375" customWidth="1"/>
    <col min="33" max="33" width="8.5703125" customWidth="1"/>
    <col min="34" max="34" width="8.7109375" customWidth="1"/>
    <col min="35" max="35" width="9.5703125" customWidth="1"/>
    <col min="36" max="36" width="12.42578125" customWidth="1"/>
    <col min="37" max="38" width="5.140625" customWidth="1"/>
    <col min="39" max="40" width="6.140625" customWidth="1"/>
    <col min="41" max="41" width="5.140625" customWidth="1"/>
    <col min="42" max="42" width="12.42578125" customWidth="1"/>
    <col min="43" max="44" width="7.140625" customWidth="1"/>
    <col min="45" max="46" width="8.140625" customWidth="1"/>
    <col min="47" max="47" width="7.140625" customWidth="1"/>
    <col min="48" max="52" width="6.140625" customWidth="1"/>
    <col min="53" max="53" width="13.42578125" customWidth="1"/>
    <col min="54" max="58" width="8.140625" customWidth="1"/>
    <col min="59" max="62" width="23.7109375" customWidth="1"/>
    <col min="63" max="63" width="31" customWidth="1"/>
  </cols>
  <sheetData>
    <row r="1" spans="1:58" x14ac:dyDescent="0.25">
      <c r="A1" s="66" t="s">
        <v>1</v>
      </c>
      <c r="B1" s="66" t="s">
        <v>2</v>
      </c>
      <c r="C1" s="66" t="s">
        <v>543</v>
      </c>
      <c r="D1" s="66" t="s">
        <v>544</v>
      </c>
      <c r="E1" s="66" t="s">
        <v>545</v>
      </c>
      <c r="F1" s="66" t="s">
        <v>546</v>
      </c>
      <c r="G1" s="66" t="s">
        <v>547</v>
      </c>
      <c r="H1" s="66" t="s">
        <v>548</v>
      </c>
      <c r="I1" s="66" t="s">
        <v>549</v>
      </c>
      <c r="J1" s="66" t="s">
        <v>550</v>
      </c>
      <c r="K1" s="66" t="s">
        <v>551</v>
      </c>
      <c r="L1" s="66" t="s">
        <v>552</v>
      </c>
      <c r="M1" s="66" t="s">
        <v>553</v>
      </c>
      <c r="N1" s="66" t="s">
        <v>554</v>
      </c>
      <c r="O1" s="66" t="s">
        <v>555</v>
      </c>
      <c r="P1" s="66" t="s">
        <v>556</v>
      </c>
      <c r="Q1" s="66" t="s">
        <v>557</v>
      </c>
      <c r="R1" s="66" t="s">
        <v>558</v>
      </c>
      <c r="S1" s="66" t="s">
        <v>559</v>
      </c>
      <c r="T1" s="66" t="s">
        <v>560</v>
      </c>
      <c r="U1" s="66" t="s">
        <v>561</v>
      </c>
      <c r="V1" s="66" t="s">
        <v>562</v>
      </c>
      <c r="W1" s="66" t="s">
        <v>563</v>
      </c>
      <c r="X1" s="66" t="s">
        <v>564</v>
      </c>
      <c r="Y1" s="66" t="s">
        <v>565</v>
      </c>
      <c r="Z1" s="66" t="s">
        <v>566</v>
      </c>
      <c r="AA1" s="66" t="s">
        <v>567</v>
      </c>
      <c r="AB1" s="66" t="s">
        <v>568</v>
      </c>
      <c r="AC1" s="66" t="s">
        <v>569</v>
      </c>
      <c r="AD1" s="66" t="s">
        <v>570</v>
      </c>
      <c r="AE1" s="66" t="s">
        <v>571</v>
      </c>
      <c r="AF1" s="66" t="s">
        <v>572</v>
      </c>
      <c r="AG1" s="66" t="s">
        <v>573</v>
      </c>
      <c r="AH1" s="66" t="s">
        <v>574</v>
      </c>
      <c r="AI1" s="66" t="s">
        <v>575</v>
      </c>
      <c r="AJ1" s="66" t="s">
        <v>576</v>
      </c>
      <c r="AK1" s="66" t="s">
        <v>577</v>
      </c>
      <c r="AL1" s="66" t="s">
        <v>578</v>
      </c>
      <c r="AM1" s="66" t="s">
        <v>579</v>
      </c>
      <c r="AN1" s="66" t="s">
        <v>580</v>
      </c>
      <c r="AO1" s="66" t="s">
        <v>581</v>
      </c>
      <c r="AP1" s="66" t="s">
        <v>582</v>
      </c>
      <c r="AQ1" s="66" t="s">
        <v>583</v>
      </c>
      <c r="AR1" s="66" t="s">
        <v>584</v>
      </c>
      <c r="AS1" s="66" t="s">
        <v>585</v>
      </c>
      <c r="AT1" s="66" t="s">
        <v>586</v>
      </c>
      <c r="AU1" s="66" t="s">
        <v>587</v>
      </c>
      <c r="AV1" s="66" t="s">
        <v>588</v>
      </c>
      <c r="AW1" s="66" t="s">
        <v>589</v>
      </c>
      <c r="AX1" s="66" t="s">
        <v>590</v>
      </c>
      <c r="AY1" s="66" t="s">
        <v>591</v>
      </c>
      <c r="AZ1" s="66" t="s">
        <v>592</v>
      </c>
      <c r="BA1" s="66" t="s">
        <v>593</v>
      </c>
      <c r="BB1" s="66" t="s">
        <v>594</v>
      </c>
      <c r="BC1" s="66" t="s">
        <v>595</v>
      </c>
      <c r="BD1" s="66" t="s">
        <v>596</v>
      </c>
      <c r="BE1" s="66" t="s">
        <v>597</v>
      </c>
      <c r="BF1" s="66" t="s">
        <v>598</v>
      </c>
    </row>
    <row r="2" spans="1:58" x14ac:dyDescent="0.25">
      <c r="A2" s="67" t="s">
        <v>16</v>
      </c>
      <c r="B2" s="67" t="s">
        <v>18</v>
      </c>
      <c r="C2" s="68">
        <v>1282</v>
      </c>
      <c r="D2" s="68">
        <v>90</v>
      </c>
      <c r="E2" s="68">
        <v>695</v>
      </c>
      <c r="F2" s="68">
        <v>93.440231323242188</v>
      </c>
      <c r="G2" s="68">
        <v>6.5597667694091797</v>
      </c>
      <c r="H2" s="68">
        <v>1933</v>
      </c>
      <c r="I2" s="68">
        <v>34</v>
      </c>
      <c r="J2" s="68">
        <v>12</v>
      </c>
      <c r="K2" s="68">
        <v>49</v>
      </c>
      <c r="L2" s="68">
        <v>18</v>
      </c>
      <c r="M2" s="68">
        <v>21</v>
      </c>
      <c r="N2" s="68">
        <v>94.477027893066406</v>
      </c>
      <c r="O2" s="68">
        <v>1.6617790460586548</v>
      </c>
      <c r="P2" s="68">
        <v>0.58651024103164673</v>
      </c>
      <c r="Q2" s="68">
        <v>2.3949170112609863</v>
      </c>
      <c r="R2" s="68">
        <v>0.87976539134979248</v>
      </c>
      <c r="S2" s="68">
        <v>977</v>
      </c>
      <c r="T2" s="68">
        <v>312</v>
      </c>
      <c r="U2" s="68">
        <v>266</v>
      </c>
      <c r="V2" s="68">
        <v>275</v>
      </c>
      <c r="W2" s="68">
        <v>237</v>
      </c>
      <c r="X2" s="68">
        <v>47.266571044921875</v>
      </c>
      <c r="Y2" s="68">
        <v>15.094339370727539</v>
      </c>
      <c r="Z2" s="68">
        <v>12.868891716003418</v>
      </c>
      <c r="AA2" s="68">
        <v>13.304306030273438</v>
      </c>
      <c r="AB2" s="68">
        <v>11.465892791748047</v>
      </c>
      <c r="AC2" s="68">
        <v>186</v>
      </c>
      <c r="AD2" s="68">
        <v>19</v>
      </c>
      <c r="AE2" s="68">
        <v>1203</v>
      </c>
      <c r="AF2" s="68">
        <v>659</v>
      </c>
      <c r="AG2" s="68">
        <v>8.9985485076904297</v>
      </c>
      <c r="AH2" s="68">
        <v>0.91920655965805054</v>
      </c>
      <c r="AI2" s="68">
        <v>58.200290679931641</v>
      </c>
      <c r="AJ2" s="68">
        <v>31.881954193115234</v>
      </c>
      <c r="AK2" s="68">
        <v>449</v>
      </c>
      <c r="AL2" s="68">
        <v>150</v>
      </c>
      <c r="AM2" s="68">
        <v>222</v>
      </c>
      <c r="AN2" s="68">
        <v>171</v>
      </c>
      <c r="AO2" s="68">
        <v>811</v>
      </c>
      <c r="AP2" s="68">
        <v>264</v>
      </c>
      <c r="AQ2" s="68">
        <v>24.902938842773438</v>
      </c>
      <c r="AR2" s="68">
        <v>8.3194675445556641</v>
      </c>
      <c r="AS2" s="68">
        <v>12.312811851501465</v>
      </c>
      <c r="AT2" s="68">
        <v>9.4841928482055664</v>
      </c>
      <c r="AU2" s="68">
        <v>44.980587005615234</v>
      </c>
      <c r="AV2" s="68">
        <v>414</v>
      </c>
      <c r="AW2" s="68">
        <v>540</v>
      </c>
      <c r="AX2" s="68">
        <v>395</v>
      </c>
      <c r="AY2" s="68">
        <v>335</v>
      </c>
      <c r="AZ2" s="68">
        <v>126</v>
      </c>
      <c r="BA2" s="68">
        <v>257</v>
      </c>
      <c r="BB2" s="68">
        <v>22.872928619384766</v>
      </c>
      <c r="BC2" s="68">
        <v>29.834253311157227</v>
      </c>
      <c r="BD2" s="68">
        <v>21.823204040527344</v>
      </c>
      <c r="BE2" s="68">
        <v>18.50828742980957</v>
      </c>
      <c r="BF2" s="68">
        <v>6.9613261222839355</v>
      </c>
    </row>
    <row r="3" spans="1:58" x14ac:dyDescent="0.25">
      <c r="A3" s="69" t="s">
        <v>19</v>
      </c>
      <c r="B3" s="69" t="s">
        <v>21</v>
      </c>
      <c r="C3" s="70">
        <v>983</v>
      </c>
      <c r="D3" s="70">
        <v>96</v>
      </c>
      <c r="E3" s="70">
        <v>1164</v>
      </c>
      <c r="F3" s="70">
        <v>91.102874755859375</v>
      </c>
      <c r="G3" s="70">
        <v>8.8971271514892578</v>
      </c>
      <c r="H3" s="70">
        <v>2004</v>
      </c>
      <c r="I3" s="70">
        <v>42</v>
      </c>
      <c r="J3" s="70">
        <v>75</v>
      </c>
      <c r="K3" s="70">
        <v>24</v>
      </c>
      <c r="L3" s="70">
        <v>37</v>
      </c>
      <c r="M3" s="70">
        <v>61</v>
      </c>
      <c r="N3" s="70">
        <v>91.84234619140625</v>
      </c>
      <c r="O3" s="70">
        <v>1.9248396158218384</v>
      </c>
      <c r="P3" s="70">
        <v>3.437213659286499</v>
      </c>
      <c r="Q3" s="70">
        <v>1.0999083518981934</v>
      </c>
      <c r="R3" s="70">
        <v>1.6956920623779297</v>
      </c>
      <c r="S3" s="70">
        <v>524</v>
      </c>
      <c r="T3" s="70">
        <v>471</v>
      </c>
      <c r="U3" s="70">
        <v>461</v>
      </c>
      <c r="V3" s="70">
        <v>425</v>
      </c>
      <c r="W3" s="70">
        <v>362</v>
      </c>
      <c r="X3" s="70">
        <v>23.361568450927734</v>
      </c>
      <c r="Y3" s="70">
        <v>20.998662948608398</v>
      </c>
      <c r="Z3" s="70">
        <v>20.552831649780273</v>
      </c>
      <c r="AA3" s="70">
        <v>18.947837829589844</v>
      </c>
      <c r="AB3" s="70">
        <v>16.13909912109375</v>
      </c>
      <c r="AC3" s="70">
        <v>183</v>
      </c>
      <c r="AD3" s="70">
        <v>40</v>
      </c>
      <c r="AE3" s="70">
        <v>1220</v>
      </c>
      <c r="AF3" s="70">
        <v>800</v>
      </c>
      <c r="AG3" s="70">
        <v>8.1587162017822266</v>
      </c>
      <c r="AH3" s="70">
        <v>1.7833259105682373</v>
      </c>
      <c r="AI3" s="70">
        <v>54.391441345214844</v>
      </c>
      <c r="AJ3" s="70">
        <v>35.666519165039063</v>
      </c>
      <c r="AK3" s="70">
        <v>401</v>
      </c>
      <c r="AL3" s="70">
        <v>158</v>
      </c>
      <c r="AM3" s="70">
        <v>254</v>
      </c>
      <c r="AN3" s="70">
        <v>190</v>
      </c>
      <c r="AO3" s="70">
        <v>964</v>
      </c>
      <c r="AP3" s="70">
        <v>276</v>
      </c>
      <c r="AQ3" s="70">
        <v>20.386375427246094</v>
      </c>
      <c r="AR3" s="70">
        <v>8.032536506652832</v>
      </c>
      <c r="AS3" s="70">
        <v>12.913065910339355</v>
      </c>
      <c r="AT3" s="70">
        <v>9.6593799591064453</v>
      </c>
      <c r="AU3" s="70">
        <v>49.008644104003906</v>
      </c>
      <c r="AV3" s="70">
        <v>481</v>
      </c>
      <c r="AW3" s="70">
        <v>501</v>
      </c>
      <c r="AX3" s="70">
        <v>346</v>
      </c>
      <c r="AY3" s="70">
        <v>464</v>
      </c>
      <c r="AZ3" s="70">
        <v>92</v>
      </c>
      <c r="BA3" s="70">
        <v>359</v>
      </c>
      <c r="BB3" s="70">
        <v>25.530786514282227</v>
      </c>
      <c r="BC3" s="70">
        <v>26.592357635498047</v>
      </c>
      <c r="BD3" s="70">
        <v>18.365180969238281</v>
      </c>
      <c r="BE3" s="70">
        <v>24.628450393676758</v>
      </c>
      <c r="BF3" s="70">
        <v>4.8832273483276367</v>
      </c>
    </row>
    <row r="4" spans="1:58" x14ac:dyDescent="0.25">
      <c r="A4" s="71" t="s">
        <v>22</v>
      </c>
      <c r="B4" s="71" t="s">
        <v>24</v>
      </c>
      <c r="C4" s="72">
        <v>858</v>
      </c>
      <c r="D4" s="72">
        <v>99</v>
      </c>
      <c r="E4" s="72">
        <v>893</v>
      </c>
      <c r="F4" s="72">
        <v>89.655174255371094</v>
      </c>
      <c r="G4" s="72">
        <v>10.344827651977539</v>
      </c>
      <c r="H4" s="72">
        <v>1697</v>
      </c>
      <c r="I4" s="72">
        <v>24</v>
      </c>
      <c r="J4" s="72">
        <v>37</v>
      </c>
      <c r="K4" s="72">
        <v>16</v>
      </c>
      <c r="L4" s="72">
        <v>30</v>
      </c>
      <c r="M4" s="72">
        <v>46</v>
      </c>
      <c r="N4" s="72">
        <v>94.068733215332031</v>
      </c>
      <c r="O4" s="72">
        <v>1.3303769826889038</v>
      </c>
      <c r="P4" s="72">
        <v>2.0509977340698242</v>
      </c>
      <c r="Q4" s="72">
        <v>0.88691794872283936</v>
      </c>
      <c r="R4" s="72">
        <v>1.6629711389541626</v>
      </c>
      <c r="S4" s="72">
        <v>314</v>
      </c>
      <c r="T4" s="72">
        <v>366</v>
      </c>
      <c r="U4" s="72">
        <v>544</v>
      </c>
      <c r="V4" s="72">
        <v>343</v>
      </c>
      <c r="W4" s="72">
        <v>283</v>
      </c>
      <c r="X4" s="72">
        <v>16.972972869873047</v>
      </c>
      <c r="Y4" s="72">
        <v>19.783782958984375</v>
      </c>
      <c r="Z4" s="72">
        <v>29.405405044555664</v>
      </c>
      <c r="AA4" s="72">
        <v>18.54054069519043</v>
      </c>
      <c r="AB4" s="72">
        <v>15.297297477722168</v>
      </c>
      <c r="AC4" s="72">
        <v>131</v>
      </c>
      <c r="AD4" s="72">
        <v>33</v>
      </c>
      <c r="AE4" s="72">
        <v>989</v>
      </c>
      <c r="AF4" s="72">
        <v>697</v>
      </c>
      <c r="AG4" s="72">
        <v>7.0810809135437012</v>
      </c>
      <c r="AH4" s="72">
        <v>1.7837837934494019</v>
      </c>
      <c r="AI4" s="72">
        <v>53.459461212158203</v>
      </c>
      <c r="AJ4" s="72">
        <v>37.675674438476563</v>
      </c>
      <c r="AK4" s="72">
        <v>305</v>
      </c>
      <c r="AL4" s="72">
        <v>123</v>
      </c>
      <c r="AM4" s="72">
        <v>166</v>
      </c>
      <c r="AN4" s="72">
        <v>183</v>
      </c>
      <c r="AO4" s="72">
        <v>795</v>
      </c>
      <c r="AP4" s="72">
        <v>278</v>
      </c>
      <c r="AQ4" s="72">
        <v>19.402034759521484</v>
      </c>
      <c r="AR4" s="72">
        <v>7.824427604675293</v>
      </c>
      <c r="AS4" s="72">
        <v>10.559796333312988</v>
      </c>
      <c r="AT4" s="72">
        <v>11.641221046447754</v>
      </c>
      <c r="AU4" s="72">
        <v>50.572517395019531</v>
      </c>
      <c r="AV4" s="72">
        <v>352</v>
      </c>
      <c r="AW4" s="72">
        <v>549</v>
      </c>
      <c r="AX4" s="72">
        <v>300</v>
      </c>
      <c r="AY4" s="72">
        <v>258</v>
      </c>
      <c r="AZ4" s="72">
        <v>88</v>
      </c>
      <c r="BA4" s="72">
        <v>303</v>
      </c>
      <c r="BB4" s="72">
        <v>22.753717422485352</v>
      </c>
      <c r="BC4" s="72">
        <v>35.488040924072266</v>
      </c>
      <c r="BD4" s="72">
        <v>19.392372131347656</v>
      </c>
      <c r="BE4" s="72">
        <v>16.677440643310547</v>
      </c>
      <c r="BF4" s="72">
        <v>5.6884293556213379</v>
      </c>
    </row>
    <row r="5" spans="1:58" x14ac:dyDescent="0.25">
      <c r="A5" s="69" t="s">
        <v>25</v>
      </c>
      <c r="B5" s="69" t="s">
        <v>27</v>
      </c>
      <c r="C5" s="70">
        <v>613</v>
      </c>
      <c r="D5" s="70">
        <v>61</v>
      </c>
      <c r="E5" s="70">
        <v>892</v>
      </c>
      <c r="F5" s="70">
        <v>90.949554443359375</v>
      </c>
      <c r="G5" s="70">
        <v>9.050445556640625</v>
      </c>
      <c r="H5" s="70">
        <v>1395</v>
      </c>
      <c r="I5" s="70">
        <v>33</v>
      </c>
      <c r="J5" s="70">
        <v>34</v>
      </c>
      <c r="K5" s="70">
        <v>24</v>
      </c>
      <c r="L5" s="70">
        <v>40</v>
      </c>
      <c r="M5" s="70">
        <v>40</v>
      </c>
      <c r="N5" s="70">
        <v>91.41546630859375</v>
      </c>
      <c r="O5" s="70">
        <v>2.1625163555145264</v>
      </c>
      <c r="P5" s="70">
        <v>2.2280471324920654</v>
      </c>
      <c r="Q5" s="70">
        <v>1.5727392435073853</v>
      </c>
      <c r="R5" s="70">
        <v>2.6212320327758789</v>
      </c>
      <c r="S5" s="70">
        <v>173</v>
      </c>
      <c r="T5" s="70">
        <v>332</v>
      </c>
      <c r="U5" s="70">
        <v>396</v>
      </c>
      <c r="V5" s="70">
        <v>336</v>
      </c>
      <c r="W5" s="70">
        <v>329</v>
      </c>
      <c r="X5" s="70">
        <v>11.04725456237793</v>
      </c>
      <c r="Y5" s="70">
        <v>21.200510025024414</v>
      </c>
      <c r="Z5" s="70">
        <v>25.287355422973633</v>
      </c>
      <c r="AA5" s="70">
        <v>21.455938339233398</v>
      </c>
      <c r="AB5" s="70">
        <v>21.008939743041992</v>
      </c>
      <c r="AC5" s="70">
        <v>110</v>
      </c>
      <c r="AD5" s="70">
        <v>29</v>
      </c>
      <c r="AE5" s="70">
        <v>948</v>
      </c>
      <c r="AF5" s="70">
        <v>479</v>
      </c>
      <c r="AG5" s="70">
        <v>7.0242657661437988</v>
      </c>
      <c r="AH5" s="70">
        <v>1.8518518209457397</v>
      </c>
      <c r="AI5" s="70">
        <v>60.536399841308594</v>
      </c>
      <c r="AJ5" s="70">
        <v>30.587484359741211</v>
      </c>
      <c r="AK5" s="70">
        <v>270</v>
      </c>
      <c r="AL5" s="70">
        <v>95</v>
      </c>
      <c r="AM5" s="70">
        <v>114</v>
      </c>
      <c r="AN5" s="70">
        <v>148</v>
      </c>
      <c r="AO5" s="70">
        <v>727</v>
      </c>
      <c r="AP5" s="70">
        <v>212</v>
      </c>
      <c r="AQ5" s="70">
        <v>19.940916061401367</v>
      </c>
      <c r="AR5" s="70">
        <v>7.0162482261657715</v>
      </c>
      <c r="AS5" s="70">
        <v>8.4194974899291992</v>
      </c>
      <c r="AT5" s="70">
        <v>10.930576324462891</v>
      </c>
      <c r="AU5" s="70">
        <v>53.692760467529297</v>
      </c>
      <c r="AV5" s="70">
        <v>182</v>
      </c>
      <c r="AW5" s="70">
        <v>453</v>
      </c>
      <c r="AX5" s="70">
        <v>244</v>
      </c>
      <c r="AY5" s="70">
        <v>238</v>
      </c>
      <c r="AZ5" s="70">
        <v>109</v>
      </c>
      <c r="BA5" s="70">
        <v>340</v>
      </c>
      <c r="BB5" s="70">
        <v>14.845024108886719</v>
      </c>
      <c r="BC5" s="70">
        <v>36.949428558349609</v>
      </c>
      <c r="BD5" s="70">
        <v>19.902120590209961</v>
      </c>
      <c r="BE5" s="70">
        <v>19.412723541259766</v>
      </c>
      <c r="BF5" s="70">
        <v>8.8907012939453125</v>
      </c>
    </row>
    <row r="6" spans="1:58" x14ac:dyDescent="0.25">
      <c r="A6" s="71" t="s">
        <v>28</v>
      </c>
      <c r="B6" s="71" t="s">
        <v>30</v>
      </c>
      <c r="C6" s="72">
        <v>1324</v>
      </c>
      <c r="D6" s="72">
        <v>104</v>
      </c>
      <c r="E6" s="72">
        <v>836</v>
      </c>
      <c r="F6" s="72">
        <v>92.717086791992188</v>
      </c>
      <c r="G6" s="72">
        <v>7.2829132080078125</v>
      </c>
      <c r="H6" s="72">
        <v>1893</v>
      </c>
      <c r="I6" s="72">
        <v>36</v>
      </c>
      <c r="J6" s="72">
        <v>60</v>
      </c>
      <c r="K6" s="72">
        <v>212</v>
      </c>
      <c r="L6" s="72">
        <v>23</v>
      </c>
      <c r="M6" s="72">
        <v>40</v>
      </c>
      <c r="N6" s="72">
        <v>85.116905212402344</v>
      </c>
      <c r="O6" s="72">
        <v>1.6187050342559814</v>
      </c>
      <c r="P6" s="72">
        <v>2.6978416442871094</v>
      </c>
      <c r="Q6" s="72">
        <v>9.532374382019043</v>
      </c>
      <c r="R6" s="72">
        <v>1.0341726541519165</v>
      </c>
      <c r="S6" s="72">
        <v>1023</v>
      </c>
      <c r="T6" s="72">
        <v>450</v>
      </c>
      <c r="U6" s="72">
        <v>296</v>
      </c>
      <c r="V6" s="72">
        <v>297</v>
      </c>
      <c r="W6" s="72">
        <v>198</v>
      </c>
      <c r="X6" s="72">
        <v>45.185512542724609</v>
      </c>
      <c r="Y6" s="72">
        <v>19.876325607299805</v>
      </c>
      <c r="Z6" s="72">
        <v>13.07420539855957</v>
      </c>
      <c r="AA6" s="72">
        <v>13.118374824523926</v>
      </c>
      <c r="AB6" s="72">
        <v>8.7455825805664063</v>
      </c>
      <c r="AC6" s="72">
        <v>187</v>
      </c>
      <c r="AD6" s="72">
        <v>34</v>
      </c>
      <c r="AE6" s="72">
        <v>1222</v>
      </c>
      <c r="AF6" s="72">
        <v>821</v>
      </c>
      <c r="AG6" s="72">
        <v>8.2597169876098633</v>
      </c>
      <c r="AH6" s="72">
        <v>1.5017668008804321</v>
      </c>
      <c r="AI6" s="72">
        <v>53.975265502929688</v>
      </c>
      <c r="AJ6" s="72">
        <v>36.263252258300781</v>
      </c>
      <c r="AK6" s="72">
        <v>554</v>
      </c>
      <c r="AL6" s="72">
        <v>157</v>
      </c>
      <c r="AM6" s="72">
        <v>259</v>
      </c>
      <c r="AN6" s="72">
        <v>161</v>
      </c>
      <c r="AO6" s="72">
        <v>850</v>
      </c>
      <c r="AP6" s="72">
        <v>283</v>
      </c>
      <c r="AQ6" s="72">
        <v>27.965673446655273</v>
      </c>
      <c r="AR6" s="72">
        <v>7.9252901077270508</v>
      </c>
      <c r="AS6" s="72">
        <v>13.07420539855957</v>
      </c>
      <c r="AT6" s="72">
        <v>8.1272087097167969</v>
      </c>
      <c r="AU6" s="72">
        <v>42.907623291015625</v>
      </c>
      <c r="AV6" s="72">
        <v>362</v>
      </c>
      <c r="AW6" s="72">
        <v>602</v>
      </c>
      <c r="AX6" s="72">
        <v>435</v>
      </c>
      <c r="AY6" s="72">
        <v>488</v>
      </c>
      <c r="AZ6" s="72">
        <v>182</v>
      </c>
      <c r="BA6" s="72">
        <v>195</v>
      </c>
      <c r="BB6" s="72">
        <v>17.496374130249023</v>
      </c>
      <c r="BC6" s="72">
        <v>29.096181869506836</v>
      </c>
      <c r="BD6" s="72">
        <v>21.024648666381836</v>
      </c>
      <c r="BE6" s="72">
        <v>23.586273193359375</v>
      </c>
      <c r="BF6" s="72">
        <v>8.7965202331542969</v>
      </c>
    </row>
    <row r="7" spans="1:58" x14ac:dyDescent="0.25">
      <c r="A7" s="69" t="s">
        <v>31</v>
      </c>
      <c r="B7" s="69" t="s">
        <v>33</v>
      </c>
      <c r="C7" s="70">
        <v>462</v>
      </c>
      <c r="D7" s="70">
        <v>42</v>
      </c>
      <c r="E7" s="70">
        <v>647</v>
      </c>
      <c r="F7" s="70">
        <v>91.666664123535156</v>
      </c>
      <c r="G7" s="70">
        <v>8.3333330154418945</v>
      </c>
      <c r="H7" s="70">
        <v>1003</v>
      </c>
      <c r="I7" s="70">
        <v>42</v>
      </c>
      <c r="J7" s="70">
        <v>18</v>
      </c>
      <c r="K7" s="70">
        <v>14</v>
      </c>
      <c r="L7" s="70">
        <v>11</v>
      </c>
      <c r="M7" s="70">
        <v>63</v>
      </c>
      <c r="N7" s="70">
        <v>92.1875</v>
      </c>
      <c r="O7" s="70">
        <v>3.8602941036224365</v>
      </c>
      <c r="P7" s="70">
        <v>1.654411792755127</v>
      </c>
      <c r="Q7" s="70">
        <v>1.2867647409439087</v>
      </c>
      <c r="R7" s="70">
        <v>1.0110293626785278</v>
      </c>
      <c r="S7" s="70">
        <v>343</v>
      </c>
      <c r="T7" s="70">
        <v>198</v>
      </c>
      <c r="U7" s="70">
        <v>220</v>
      </c>
      <c r="V7" s="70">
        <v>171</v>
      </c>
      <c r="W7" s="70">
        <v>219</v>
      </c>
      <c r="X7" s="70">
        <v>29.800174713134766</v>
      </c>
      <c r="Y7" s="70">
        <v>17.202432632446289</v>
      </c>
      <c r="Z7" s="70">
        <v>19.113813400268555</v>
      </c>
      <c r="AA7" s="70">
        <v>14.856646537780762</v>
      </c>
      <c r="AB7" s="70">
        <v>19.026933670043945</v>
      </c>
      <c r="AC7" s="70">
        <v>78</v>
      </c>
      <c r="AD7" s="70">
        <v>7</v>
      </c>
      <c r="AE7" s="70">
        <v>555</v>
      </c>
      <c r="AF7" s="70">
        <v>511</v>
      </c>
      <c r="AG7" s="70">
        <v>6.7767157554626465</v>
      </c>
      <c r="AH7" s="70">
        <v>0.60816681385040283</v>
      </c>
      <c r="AI7" s="70">
        <v>48.218940734863281</v>
      </c>
      <c r="AJ7" s="70">
        <v>44.396175384521484</v>
      </c>
      <c r="AK7" s="70">
        <v>240</v>
      </c>
      <c r="AL7" s="70">
        <v>97</v>
      </c>
      <c r="AM7" s="70">
        <v>139</v>
      </c>
      <c r="AN7" s="70">
        <v>105</v>
      </c>
      <c r="AO7" s="70">
        <v>481</v>
      </c>
      <c r="AP7" s="70">
        <v>89</v>
      </c>
      <c r="AQ7" s="70">
        <v>22.598869323730469</v>
      </c>
      <c r="AR7" s="70">
        <v>9.1337099075317383</v>
      </c>
      <c r="AS7" s="70">
        <v>13.088512420654297</v>
      </c>
      <c r="AT7" s="70">
        <v>9.8870058059692383</v>
      </c>
      <c r="AU7" s="70">
        <v>45.291900634765625</v>
      </c>
      <c r="AV7" s="70">
        <v>251</v>
      </c>
      <c r="AW7" s="70">
        <v>276</v>
      </c>
      <c r="AX7" s="70">
        <v>173</v>
      </c>
      <c r="AY7" s="70">
        <v>203</v>
      </c>
      <c r="AZ7" s="70">
        <v>89</v>
      </c>
      <c r="BA7" s="70">
        <v>159</v>
      </c>
      <c r="BB7" s="70">
        <v>25.302419662475586</v>
      </c>
      <c r="BC7" s="70">
        <v>27.822580337524414</v>
      </c>
      <c r="BD7" s="70">
        <v>17.439516067504883</v>
      </c>
      <c r="BE7" s="70">
        <v>20.463708877563477</v>
      </c>
      <c r="BF7" s="70">
        <v>8.9717741012573242</v>
      </c>
    </row>
    <row r="8" spans="1:58" x14ac:dyDescent="0.25">
      <c r="A8" s="71" t="s">
        <v>34</v>
      </c>
      <c r="B8" s="71" t="s">
        <v>36</v>
      </c>
      <c r="C8" s="72">
        <v>363</v>
      </c>
      <c r="D8" s="72">
        <v>42</v>
      </c>
      <c r="E8" s="72">
        <v>695</v>
      </c>
      <c r="F8" s="72">
        <v>89.629631042480469</v>
      </c>
      <c r="G8" s="72">
        <v>10.370369911193848</v>
      </c>
      <c r="H8" s="72">
        <v>969</v>
      </c>
      <c r="I8" s="72">
        <v>24</v>
      </c>
      <c r="J8" s="72">
        <v>21</v>
      </c>
      <c r="K8" s="72">
        <v>12</v>
      </c>
      <c r="L8" s="72">
        <v>25</v>
      </c>
      <c r="M8" s="72">
        <v>49</v>
      </c>
      <c r="N8" s="72">
        <v>92.197906494140625</v>
      </c>
      <c r="O8" s="72">
        <v>2.2835395336151123</v>
      </c>
      <c r="P8" s="72">
        <v>1.9980970621109009</v>
      </c>
      <c r="Q8" s="72">
        <v>1.1417697668075562</v>
      </c>
      <c r="R8" s="72">
        <v>2.3786869049072266</v>
      </c>
      <c r="S8" s="72">
        <v>217</v>
      </c>
      <c r="T8" s="72">
        <v>244</v>
      </c>
      <c r="U8" s="72">
        <v>256</v>
      </c>
      <c r="V8" s="72">
        <v>229</v>
      </c>
      <c r="W8" s="72">
        <v>154</v>
      </c>
      <c r="X8" s="72">
        <v>19.727272033691406</v>
      </c>
      <c r="Y8" s="72">
        <v>22.181818008422852</v>
      </c>
      <c r="Z8" s="72">
        <v>23.272727966308594</v>
      </c>
      <c r="AA8" s="72">
        <v>20.818181991577148</v>
      </c>
      <c r="AB8" s="72">
        <v>14</v>
      </c>
      <c r="AC8" s="72">
        <v>76</v>
      </c>
      <c r="AD8" s="72">
        <v>11</v>
      </c>
      <c r="AE8" s="72">
        <v>665</v>
      </c>
      <c r="AF8" s="72">
        <v>348</v>
      </c>
      <c r="AG8" s="72">
        <v>6.9090909957885742</v>
      </c>
      <c r="AH8" s="72">
        <v>1</v>
      </c>
      <c r="AI8" s="72">
        <v>60.454544067382813</v>
      </c>
      <c r="AJ8" s="72">
        <v>31.636363983154297</v>
      </c>
      <c r="AK8" s="72">
        <v>162</v>
      </c>
      <c r="AL8" s="72">
        <v>68</v>
      </c>
      <c r="AM8" s="72">
        <v>120</v>
      </c>
      <c r="AN8" s="72">
        <v>102</v>
      </c>
      <c r="AO8" s="72">
        <v>421</v>
      </c>
      <c r="AP8" s="72">
        <v>227</v>
      </c>
      <c r="AQ8" s="72">
        <v>18.55670166015625</v>
      </c>
      <c r="AR8" s="72">
        <v>7.7892327308654785</v>
      </c>
      <c r="AS8" s="72">
        <v>13.745704650878906</v>
      </c>
      <c r="AT8" s="72">
        <v>11.68384838104248</v>
      </c>
      <c r="AU8" s="72">
        <v>48.224514007568359</v>
      </c>
      <c r="AV8" s="72">
        <v>129</v>
      </c>
      <c r="AW8" s="72">
        <v>336</v>
      </c>
      <c r="AX8" s="72">
        <v>196</v>
      </c>
      <c r="AY8" s="72">
        <v>168</v>
      </c>
      <c r="AZ8" s="72">
        <v>52</v>
      </c>
      <c r="BA8" s="72">
        <v>219</v>
      </c>
      <c r="BB8" s="72">
        <v>14.642451286315918</v>
      </c>
      <c r="BC8" s="72">
        <v>38.138477325439453</v>
      </c>
      <c r="BD8" s="72">
        <v>22.247446060180664</v>
      </c>
      <c r="BE8" s="72">
        <v>19.069238662719727</v>
      </c>
      <c r="BF8" s="72">
        <v>5.9023838043212891</v>
      </c>
    </row>
    <row r="9" spans="1:58" x14ac:dyDescent="0.25">
      <c r="A9" s="69" t="s">
        <v>37</v>
      </c>
      <c r="B9" s="69" t="s">
        <v>39</v>
      </c>
      <c r="C9" s="70">
        <v>474</v>
      </c>
      <c r="D9" s="70">
        <v>28</v>
      </c>
      <c r="E9" s="70">
        <v>646</v>
      </c>
      <c r="F9" s="70">
        <v>94.422309875488281</v>
      </c>
      <c r="G9" s="70">
        <v>5.5776891708374023</v>
      </c>
      <c r="H9" s="70">
        <v>1051</v>
      </c>
      <c r="I9" s="70">
        <v>21</v>
      </c>
      <c r="J9" s="70">
        <v>29</v>
      </c>
      <c r="K9" s="70">
        <v>3</v>
      </c>
      <c r="L9" s="70">
        <v>14</v>
      </c>
      <c r="M9" s="70">
        <v>30</v>
      </c>
      <c r="N9" s="70">
        <v>94.007156372070313</v>
      </c>
      <c r="O9" s="70">
        <v>1.8783541917800903</v>
      </c>
      <c r="P9" s="70">
        <v>2.5939176082611084</v>
      </c>
      <c r="Q9" s="70">
        <v>0.26833632588386536</v>
      </c>
      <c r="R9" s="70">
        <v>1.2522361278533936</v>
      </c>
      <c r="S9" s="70">
        <v>409</v>
      </c>
      <c r="T9" s="70">
        <v>248</v>
      </c>
      <c r="U9" s="70">
        <v>169</v>
      </c>
      <c r="V9" s="70">
        <v>202</v>
      </c>
      <c r="W9" s="70">
        <v>120</v>
      </c>
      <c r="X9" s="70">
        <v>35.627178192138672</v>
      </c>
      <c r="Y9" s="70">
        <v>21.602787017822266</v>
      </c>
      <c r="Z9" s="70">
        <v>14.721254348754883</v>
      </c>
      <c r="AA9" s="70">
        <v>17.595819473266602</v>
      </c>
      <c r="AB9" s="70">
        <v>10.452961921691895</v>
      </c>
      <c r="AC9" s="70">
        <v>96</v>
      </c>
      <c r="AD9" s="70">
        <v>13</v>
      </c>
      <c r="AE9" s="70">
        <v>603</v>
      </c>
      <c r="AF9" s="70">
        <v>436</v>
      </c>
      <c r="AG9" s="70">
        <v>8.3623695373535156</v>
      </c>
      <c r="AH9" s="70">
        <v>1.1324042081832886</v>
      </c>
      <c r="AI9" s="70">
        <v>52.526130676269531</v>
      </c>
      <c r="AJ9" s="70">
        <v>37.979095458984375</v>
      </c>
      <c r="AK9" s="70">
        <v>214</v>
      </c>
      <c r="AL9" s="70">
        <v>73</v>
      </c>
      <c r="AM9" s="70">
        <v>126</v>
      </c>
      <c r="AN9" s="70">
        <v>111</v>
      </c>
      <c r="AO9" s="70">
        <v>456</v>
      </c>
      <c r="AP9" s="70">
        <v>168</v>
      </c>
      <c r="AQ9" s="70">
        <v>21.836734771728516</v>
      </c>
      <c r="AR9" s="70">
        <v>7.448979377746582</v>
      </c>
      <c r="AS9" s="70">
        <v>12.857142448425293</v>
      </c>
      <c r="AT9" s="70">
        <v>11.326530456542969</v>
      </c>
      <c r="AU9" s="70">
        <v>46.530612945556641</v>
      </c>
      <c r="AV9" s="70">
        <v>204</v>
      </c>
      <c r="AW9" s="70">
        <v>310</v>
      </c>
      <c r="AX9" s="70">
        <v>159</v>
      </c>
      <c r="AY9" s="70">
        <v>167</v>
      </c>
      <c r="AZ9" s="70">
        <v>87</v>
      </c>
      <c r="BA9" s="70">
        <v>221</v>
      </c>
      <c r="BB9" s="70">
        <v>22.006471633911133</v>
      </c>
      <c r="BC9" s="70">
        <v>33.441207885742188</v>
      </c>
      <c r="BD9" s="70">
        <v>17.152103424072266</v>
      </c>
      <c r="BE9" s="70">
        <v>18.015102386474609</v>
      </c>
      <c r="BF9" s="70">
        <v>9.3851137161254883</v>
      </c>
    </row>
    <row r="10" spans="1:58" x14ac:dyDescent="0.25">
      <c r="A10" s="71" t="s">
        <v>40</v>
      </c>
      <c r="B10" s="71" t="s">
        <v>42</v>
      </c>
      <c r="C10" s="72">
        <v>262</v>
      </c>
      <c r="D10" s="72">
        <v>40</v>
      </c>
      <c r="E10" s="72">
        <v>364</v>
      </c>
      <c r="F10" s="72">
        <v>86.754966735839844</v>
      </c>
      <c r="G10" s="72">
        <v>13.245033264160156</v>
      </c>
      <c r="H10" s="72">
        <v>471</v>
      </c>
      <c r="I10" s="72">
        <v>24</v>
      </c>
      <c r="J10" s="72">
        <v>50</v>
      </c>
      <c r="K10" s="72">
        <v>40</v>
      </c>
      <c r="L10" s="72">
        <v>60</v>
      </c>
      <c r="M10" s="72">
        <v>21</v>
      </c>
      <c r="N10" s="72">
        <v>73.02325439453125</v>
      </c>
      <c r="O10" s="72">
        <v>3.7209303379058838</v>
      </c>
      <c r="P10" s="72">
        <v>7.7519378662109375</v>
      </c>
      <c r="Q10" s="72">
        <v>6.2015504837036133</v>
      </c>
      <c r="R10" s="72">
        <v>9.3023252487182617</v>
      </c>
      <c r="S10" s="72">
        <v>119</v>
      </c>
      <c r="T10" s="72">
        <v>192</v>
      </c>
      <c r="U10" s="72">
        <v>165</v>
      </c>
      <c r="V10" s="72">
        <v>122</v>
      </c>
      <c r="W10" s="72">
        <v>68</v>
      </c>
      <c r="X10" s="72">
        <v>17.867868423461914</v>
      </c>
      <c r="Y10" s="72">
        <v>28.828828811645508</v>
      </c>
      <c r="Z10" s="72">
        <v>24.774774551391602</v>
      </c>
      <c r="AA10" s="72">
        <v>18.318317413330078</v>
      </c>
      <c r="AB10" s="72">
        <v>10.210209846496582</v>
      </c>
      <c r="AC10" s="72">
        <v>43</v>
      </c>
      <c r="AD10" s="72">
        <v>7</v>
      </c>
      <c r="AE10" s="72">
        <v>475</v>
      </c>
      <c r="AF10" s="72">
        <v>141</v>
      </c>
      <c r="AG10" s="72">
        <v>6.4564566612243652</v>
      </c>
      <c r="AH10" s="72">
        <v>1.0510510206222534</v>
      </c>
      <c r="AI10" s="72">
        <v>71.321319580078125</v>
      </c>
      <c r="AJ10" s="72">
        <v>21.171171188354492</v>
      </c>
      <c r="AK10" s="72">
        <v>123</v>
      </c>
      <c r="AL10" s="72">
        <v>40</v>
      </c>
      <c r="AM10" s="72">
        <v>72</v>
      </c>
      <c r="AN10" s="72">
        <v>55</v>
      </c>
      <c r="AO10" s="72">
        <v>252</v>
      </c>
      <c r="AP10" s="72">
        <v>124</v>
      </c>
      <c r="AQ10" s="72">
        <v>22.693727493286133</v>
      </c>
      <c r="AR10" s="72">
        <v>7.3800740242004395</v>
      </c>
      <c r="AS10" s="72">
        <v>13.284132957458496</v>
      </c>
      <c r="AT10" s="72">
        <v>10.147601127624512</v>
      </c>
      <c r="AU10" s="72">
        <v>46.494464874267578</v>
      </c>
      <c r="AV10" s="72">
        <v>116</v>
      </c>
      <c r="AW10" s="72">
        <v>148</v>
      </c>
      <c r="AX10" s="72">
        <v>64</v>
      </c>
      <c r="AY10" s="72">
        <v>62</v>
      </c>
      <c r="AZ10" s="72">
        <v>29</v>
      </c>
      <c r="BA10" s="72">
        <v>247</v>
      </c>
      <c r="BB10" s="72">
        <v>27.684965133666992</v>
      </c>
      <c r="BC10" s="72">
        <v>35.322196960449219</v>
      </c>
      <c r="BD10" s="72">
        <v>15.274462699890137</v>
      </c>
      <c r="BE10" s="72">
        <v>14.797136306762695</v>
      </c>
      <c r="BF10" s="72">
        <v>6.921241283416748</v>
      </c>
    </row>
    <row r="11" spans="1:58" x14ac:dyDescent="0.25">
      <c r="A11" s="69" t="s">
        <v>43</v>
      </c>
      <c r="B11" s="69" t="s">
        <v>45</v>
      </c>
      <c r="C11" s="70">
        <v>326</v>
      </c>
      <c r="D11" s="70">
        <v>30</v>
      </c>
      <c r="E11" s="70">
        <v>451</v>
      </c>
      <c r="F11" s="70">
        <v>91.573036193847656</v>
      </c>
      <c r="G11" s="70">
        <v>8.426966667175293</v>
      </c>
      <c r="H11" s="70">
        <v>610</v>
      </c>
      <c r="I11" s="70">
        <v>8</v>
      </c>
      <c r="J11" s="70">
        <v>79</v>
      </c>
      <c r="K11" s="70">
        <v>54</v>
      </c>
      <c r="L11" s="70">
        <v>47</v>
      </c>
      <c r="M11" s="70">
        <v>9</v>
      </c>
      <c r="N11" s="70">
        <v>76.44110107421875</v>
      </c>
      <c r="O11" s="70">
        <v>1.0025062561035156</v>
      </c>
      <c r="P11" s="70">
        <v>9.899749755859375</v>
      </c>
      <c r="Q11" s="70">
        <v>6.7669172286987305</v>
      </c>
      <c r="R11" s="70">
        <v>5.8897242546081543</v>
      </c>
      <c r="S11" s="70">
        <v>219</v>
      </c>
      <c r="T11" s="70">
        <v>298</v>
      </c>
      <c r="U11" s="70">
        <v>150</v>
      </c>
      <c r="V11" s="70">
        <v>87</v>
      </c>
      <c r="W11" s="70">
        <v>53</v>
      </c>
      <c r="X11" s="70">
        <v>27.137546539306641</v>
      </c>
      <c r="Y11" s="70">
        <v>36.926891326904297</v>
      </c>
      <c r="Z11" s="70">
        <v>18.587360382080078</v>
      </c>
      <c r="AA11" s="70">
        <v>10.780669212341309</v>
      </c>
      <c r="AB11" s="70">
        <v>6.5675339698791504</v>
      </c>
      <c r="AC11" s="70">
        <v>48</v>
      </c>
      <c r="AD11" s="70">
        <v>21</v>
      </c>
      <c r="AE11" s="70">
        <v>523</v>
      </c>
      <c r="AF11" s="70">
        <v>215</v>
      </c>
      <c r="AG11" s="70">
        <v>5.9479556083679199</v>
      </c>
      <c r="AH11" s="70">
        <v>2.6022305488586426</v>
      </c>
      <c r="AI11" s="70">
        <v>64.807929992675781</v>
      </c>
      <c r="AJ11" s="70">
        <v>26.641883850097656</v>
      </c>
      <c r="AK11" s="70">
        <v>203</v>
      </c>
      <c r="AL11" s="70">
        <v>53</v>
      </c>
      <c r="AM11" s="70">
        <v>78</v>
      </c>
      <c r="AN11" s="70">
        <v>72</v>
      </c>
      <c r="AO11" s="70">
        <v>323</v>
      </c>
      <c r="AP11" s="70">
        <v>78</v>
      </c>
      <c r="AQ11" s="70">
        <v>27.846364974975586</v>
      </c>
      <c r="AR11" s="70">
        <v>7.270233154296875</v>
      </c>
      <c r="AS11" s="70">
        <v>10.699588775634766</v>
      </c>
      <c r="AT11" s="70">
        <v>9.8765430450439453</v>
      </c>
      <c r="AU11" s="70">
        <v>44.307270050048828</v>
      </c>
      <c r="AV11" s="70">
        <v>138</v>
      </c>
      <c r="AW11" s="70">
        <v>147</v>
      </c>
      <c r="AX11" s="70">
        <v>72</v>
      </c>
      <c r="AY11" s="70">
        <v>63</v>
      </c>
      <c r="AZ11" s="70">
        <v>21</v>
      </c>
      <c r="BA11" s="70">
        <v>366</v>
      </c>
      <c r="BB11" s="70">
        <v>31.292516708374023</v>
      </c>
      <c r="BC11" s="70">
        <v>33.333332061767578</v>
      </c>
      <c r="BD11" s="70">
        <v>16.326530456542969</v>
      </c>
      <c r="BE11" s="70">
        <v>14.285714149475098</v>
      </c>
      <c r="BF11" s="70">
        <v>4.7619047164916992</v>
      </c>
    </row>
    <row r="12" spans="1:58" x14ac:dyDescent="0.25">
      <c r="A12" s="71" t="s">
        <v>46</v>
      </c>
      <c r="B12" s="71" t="s">
        <v>48</v>
      </c>
      <c r="C12" s="72">
        <v>1419</v>
      </c>
      <c r="D12" s="72">
        <v>91</v>
      </c>
      <c r="E12" s="72">
        <v>1175</v>
      </c>
      <c r="F12" s="72">
        <v>93.9735107421875</v>
      </c>
      <c r="G12" s="72">
        <v>6.0264902114868164</v>
      </c>
      <c r="H12" s="72">
        <v>2543</v>
      </c>
      <c r="I12" s="72">
        <v>29</v>
      </c>
      <c r="J12" s="72">
        <v>23</v>
      </c>
      <c r="K12" s="72">
        <v>18</v>
      </c>
      <c r="L12" s="72">
        <v>21</v>
      </c>
      <c r="M12" s="72">
        <v>51</v>
      </c>
      <c r="N12" s="72">
        <v>96.545181274414063</v>
      </c>
      <c r="O12" s="72">
        <v>1.1009870767593384</v>
      </c>
      <c r="P12" s="72">
        <v>0.87319666147232056</v>
      </c>
      <c r="Q12" s="72">
        <v>0.68337130546569824</v>
      </c>
      <c r="R12" s="72">
        <v>0.79726654291152954</v>
      </c>
      <c r="S12" s="72">
        <v>1069</v>
      </c>
      <c r="T12" s="72">
        <v>641</v>
      </c>
      <c r="U12" s="72">
        <v>409</v>
      </c>
      <c r="V12" s="72">
        <v>324</v>
      </c>
      <c r="W12" s="72">
        <v>242</v>
      </c>
      <c r="X12" s="72">
        <v>39.81378173828125</v>
      </c>
      <c r="Y12" s="72">
        <v>23.873371124267578</v>
      </c>
      <c r="Z12" s="72">
        <v>15.23277473449707</v>
      </c>
      <c r="AA12" s="72">
        <v>12.067039489746094</v>
      </c>
      <c r="AB12" s="72">
        <v>9.013035774230957</v>
      </c>
      <c r="AC12" s="72">
        <v>227</v>
      </c>
      <c r="AD12" s="72">
        <v>47</v>
      </c>
      <c r="AE12" s="72">
        <v>1487</v>
      </c>
      <c r="AF12" s="72">
        <v>924</v>
      </c>
      <c r="AG12" s="72">
        <v>8.454376220703125</v>
      </c>
      <c r="AH12" s="72">
        <v>1.7504655122756958</v>
      </c>
      <c r="AI12" s="72">
        <v>55.381752014160156</v>
      </c>
      <c r="AJ12" s="72">
        <v>34.413406372070313</v>
      </c>
      <c r="AK12" s="72">
        <v>569</v>
      </c>
      <c r="AL12" s="72">
        <v>186</v>
      </c>
      <c r="AM12" s="72">
        <v>286</v>
      </c>
      <c r="AN12" s="72">
        <v>208</v>
      </c>
      <c r="AO12" s="72">
        <v>1139</v>
      </c>
      <c r="AP12" s="72">
        <v>297</v>
      </c>
      <c r="AQ12" s="72">
        <v>23.827470779418945</v>
      </c>
      <c r="AR12" s="72">
        <v>7.7889447212219238</v>
      </c>
      <c r="AS12" s="72">
        <v>11.97654914855957</v>
      </c>
      <c r="AT12" s="72">
        <v>8.7102174758911133</v>
      </c>
      <c r="AU12" s="72">
        <v>47.696819305419922</v>
      </c>
      <c r="AV12" s="72">
        <v>364</v>
      </c>
      <c r="AW12" s="72">
        <v>757</v>
      </c>
      <c r="AX12" s="72">
        <v>547</v>
      </c>
      <c r="AY12" s="72">
        <v>542</v>
      </c>
      <c r="AZ12" s="72">
        <v>130</v>
      </c>
      <c r="BA12" s="72">
        <v>345</v>
      </c>
      <c r="BB12" s="72">
        <v>15.55555534362793</v>
      </c>
      <c r="BC12" s="72">
        <v>32.350425720214844</v>
      </c>
      <c r="BD12" s="72">
        <v>23.376068115234375</v>
      </c>
      <c r="BE12" s="72">
        <v>23.162393569946289</v>
      </c>
      <c r="BF12" s="72">
        <v>5.5555553436279297</v>
      </c>
    </row>
    <row r="13" spans="1:58" x14ac:dyDescent="0.25">
      <c r="A13" s="69" t="s">
        <v>49</v>
      </c>
      <c r="B13" s="69" t="s">
        <v>51</v>
      </c>
      <c r="C13" s="70">
        <v>462</v>
      </c>
      <c r="D13" s="70">
        <v>49</v>
      </c>
      <c r="E13" s="70">
        <v>680</v>
      </c>
      <c r="F13" s="70">
        <v>90.410957336425781</v>
      </c>
      <c r="G13" s="70">
        <v>9.5890407562255859</v>
      </c>
      <c r="H13" s="70">
        <v>1108</v>
      </c>
      <c r="I13" s="70">
        <v>12</v>
      </c>
      <c r="J13" s="70">
        <v>14</v>
      </c>
      <c r="K13" s="70">
        <v>7</v>
      </c>
      <c r="L13" s="70">
        <v>13</v>
      </c>
      <c r="M13" s="70">
        <v>37</v>
      </c>
      <c r="N13" s="70">
        <v>96.013862609863281</v>
      </c>
      <c r="O13" s="70">
        <v>1.0398613214492798</v>
      </c>
      <c r="P13" s="70">
        <v>1.2131716012954712</v>
      </c>
      <c r="Q13" s="70">
        <v>0.6065858006477356</v>
      </c>
      <c r="R13" s="70">
        <v>1.1265164613723755</v>
      </c>
      <c r="S13" s="70">
        <v>197</v>
      </c>
      <c r="T13" s="70">
        <v>401</v>
      </c>
      <c r="U13" s="70">
        <v>291</v>
      </c>
      <c r="V13" s="70">
        <v>207</v>
      </c>
      <c r="W13" s="70">
        <v>95</v>
      </c>
      <c r="X13" s="70">
        <v>16.540721893310547</v>
      </c>
      <c r="Y13" s="70">
        <v>33.669185638427734</v>
      </c>
      <c r="Z13" s="70">
        <v>24.433248519897461</v>
      </c>
      <c r="AA13" s="70">
        <v>17.380352020263672</v>
      </c>
      <c r="AB13" s="70">
        <v>7.9764904975891113</v>
      </c>
      <c r="AC13" s="70">
        <v>72</v>
      </c>
      <c r="AD13" s="70">
        <v>14</v>
      </c>
      <c r="AE13" s="70">
        <v>582</v>
      </c>
      <c r="AF13" s="70">
        <v>523</v>
      </c>
      <c r="AG13" s="70">
        <v>6.0453400611877441</v>
      </c>
      <c r="AH13" s="70">
        <v>1.1754827499389648</v>
      </c>
      <c r="AI13" s="70">
        <v>48.866497039794922</v>
      </c>
      <c r="AJ13" s="70">
        <v>43.912677764892578</v>
      </c>
      <c r="AK13" s="70">
        <v>226</v>
      </c>
      <c r="AL13" s="70">
        <v>80</v>
      </c>
      <c r="AM13" s="70">
        <v>96</v>
      </c>
      <c r="AN13" s="70">
        <v>77</v>
      </c>
      <c r="AO13" s="70">
        <v>431</v>
      </c>
      <c r="AP13" s="70">
        <v>281</v>
      </c>
      <c r="AQ13" s="70">
        <v>24.835165023803711</v>
      </c>
      <c r="AR13" s="70">
        <v>8.7912092208862305</v>
      </c>
      <c r="AS13" s="70">
        <v>10.549450874328613</v>
      </c>
      <c r="AT13" s="70">
        <v>8.4615383148193359</v>
      </c>
      <c r="AU13" s="70">
        <v>47.362636566162109</v>
      </c>
      <c r="AV13" s="70">
        <v>184</v>
      </c>
      <c r="AW13" s="70">
        <v>288</v>
      </c>
      <c r="AX13" s="70">
        <v>163</v>
      </c>
      <c r="AY13" s="70">
        <v>203</v>
      </c>
      <c r="AZ13" s="70">
        <v>60</v>
      </c>
      <c r="BA13" s="70">
        <v>293</v>
      </c>
      <c r="BB13" s="70">
        <v>20.48997688293457</v>
      </c>
      <c r="BC13" s="70">
        <v>32.071269989013672</v>
      </c>
      <c r="BD13" s="70">
        <v>18.151447296142578</v>
      </c>
      <c r="BE13" s="70">
        <v>22.605791091918945</v>
      </c>
      <c r="BF13" s="70">
        <v>6.6815142631530762</v>
      </c>
    </row>
    <row r="14" spans="1:58" x14ac:dyDescent="0.25">
      <c r="A14" s="71" t="s">
        <v>52</v>
      </c>
      <c r="B14" s="71" t="s">
        <v>54</v>
      </c>
      <c r="C14" s="72">
        <v>555</v>
      </c>
      <c r="D14" s="72">
        <v>62</v>
      </c>
      <c r="E14" s="72">
        <v>931</v>
      </c>
      <c r="F14" s="72">
        <v>89.951377868652344</v>
      </c>
      <c r="G14" s="72">
        <v>10.048622131347656</v>
      </c>
      <c r="H14" s="72">
        <v>1345</v>
      </c>
      <c r="I14" s="72">
        <v>41</v>
      </c>
      <c r="J14" s="72">
        <v>38</v>
      </c>
      <c r="K14" s="72">
        <v>23</v>
      </c>
      <c r="L14" s="72">
        <v>24</v>
      </c>
      <c r="M14" s="72">
        <v>77</v>
      </c>
      <c r="N14" s="72">
        <v>91.434394836425781</v>
      </c>
      <c r="O14" s="72">
        <v>2.7872195243835449</v>
      </c>
      <c r="P14" s="72">
        <v>2.5832767486572266</v>
      </c>
      <c r="Q14" s="72">
        <v>1.5635621547698975</v>
      </c>
      <c r="R14" s="72">
        <v>1.6315431594848633</v>
      </c>
      <c r="S14" s="72">
        <v>191</v>
      </c>
      <c r="T14" s="72">
        <v>285</v>
      </c>
      <c r="U14" s="72">
        <v>420</v>
      </c>
      <c r="V14" s="72">
        <v>349</v>
      </c>
      <c r="W14" s="72">
        <v>303</v>
      </c>
      <c r="X14" s="72">
        <v>12.3385009765625</v>
      </c>
      <c r="Y14" s="72">
        <v>18.410852432250977</v>
      </c>
      <c r="Z14" s="72">
        <v>27.131782531738281</v>
      </c>
      <c r="AA14" s="72">
        <v>22.545219421386719</v>
      </c>
      <c r="AB14" s="72">
        <v>19.573642730712891</v>
      </c>
      <c r="AC14" s="72">
        <v>107</v>
      </c>
      <c r="AD14" s="72">
        <v>22</v>
      </c>
      <c r="AE14" s="72">
        <v>843</v>
      </c>
      <c r="AF14" s="72">
        <v>576</v>
      </c>
      <c r="AG14" s="72">
        <v>6.912144660949707</v>
      </c>
      <c r="AH14" s="72">
        <v>1.4211885929107666</v>
      </c>
      <c r="AI14" s="72">
        <v>54.457363128662109</v>
      </c>
      <c r="AJ14" s="72">
        <v>37.209300994873047</v>
      </c>
      <c r="AK14" s="72">
        <v>273</v>
      </c>
      <c r="AL14" s="72">
        <v>95</v>
      </c>
      <c r="AM14" s="72">
        <v>166</v>
      </c>
      <c r="AN14" s="72">
        <v>130</v>
      </c>
      <c r="AO14" s="72">
        <v>697</v>
      </c>
      <c r="AP14" s="72">
        <v>187</v>
      </c>
      <c r="AQ14" s="72">
        <v>20.058780670166016</v>
      </c>
      <c r="AR14" s="72">
        <v>6.9801616668701172</v>
      </c>
      <c r="AS14" s="72">
        <v>12.196913719177246</v>
      </c>
      <c r="AT14" s="72">
        <v>9.5517997741699219</v>
      </c>
      <c r="AU14" s="72">
        <v>51.212345123291016</v>
      </c>
      <c r="AV14" s="72">
        <v>350</v>
      </c>
      <c r="AW14" s="72">
        <v>418</v>
      </c>
      <c r="AX14" s="72">
        <v>286</v>
      </c>
      <c r="AY14" s="72">
        <v>307</v>
      </c>
      <c r="AZ14" s="72">
        <v>49</v>
      </c>
      <c r="BA14" s="72">
        <v>138</v>
      </c>
      <c r="BB14" s="72">
        <v>24.822694778442383</v>
      </c>
      <c r="BC14" s="72">
        <v>29.645389556884766</v>
      </c>
      <c r="BD14" s="72">
        <v>20.283687591552734</v>
      </c>
      <c r="BE14" s="72">
        <v>21.773050308227539</v>
      </c>
      <c r="BF14" s="72">
        <v>3.4751772880554199</v>
      </c>
    </row>
    <row r="15" spans="1:58" x14ac:dyDescent="0.25">
      <c r="A15" s="69" t="s">
        <v>55</v>
      </c>
      <c r="B15" s="69" t="s">
        <v>57</v>
      </c>
      <c r="C15" s="70">
        <v>432</v>
      </c>
      <c r="D15" s="70">
        <v>61</v>
      </c>
      <c r="E15" s="70">
        <v>452</v>
      </c>
      <c r="F15" s="70">
        <v>87.626777648925781</v>
      </c>
      <c r="G15" s="70">
        <v>12.373225212097168</v>
      </c>
      <c r="H15" s="70">
        <v>727</v>
      </c>
      <c r="I15" s="70">
        <v>41</v>
      </c>
      <c r="J15" s="70">
        <v>37</v>
      </c>
      <c r="K15" s="70">
        <v>62</v>
      </c>
      <c r="L15" s="70">
        <v>42</v>
      </c>
      <c r="M15" s="70">
        <v>36</v>
      </c>
      <c r="N15" s="70">
        <v>79.977996826171875</v>
      </c>
      <c r="O15" s="70">
        <v>4.5104508399963379</v>
      </c>
      <c r="P15" s="70">
        <v>4.0704069137573242</v>
      </c>
      <c r="Q15" s="70">
        <v>6.8206820487976074</v>
      </c>
      <c r="R15" s="70">
        <v>4.6204619407653809</v>
      </c>
      <c r="S15" s="70">
        <v>173</v>
      </c>
      <c r="T15" s="70">
        <v>287</v>
      </c>
      <c r="U15" s="70">
        <v>168</v>
      </c>
      <c r="V15" s="70">
        <v>156</v>
      </c>
      <c r="W15" s="70">
        <v>161</v>
      </c>
      <c r="X15" s="70">
        <v>18.306879043579102</v>
      </c>
      <c r="Y15" s="70">
        <v>30.370370864868164</v>
      </c>
      <c r="Z15" s="70">
        <v>17.777778625488281</v>
      </c>
      <c r="AA15" s="70">
        <v>16.507936477661133</v>
      </c>
      <c r="AB15" s="70">
        <v>17.037036895751953</v>
      </c>
      <c r="AC15" s="70">
        <v>40</v>
      </c>
      <c r="AD15" s="70">
        <v>6</v>
      </c>
      <c r="AE15" s="70">
        <v>452</v>
      </c>
      <c r="AF15" s="70">
        <v>447</v>
      </c>
      <c r="AG15" s="70">
        <v>4.2328042984008789</v>
      </c>
      <c r="AH15" s="70">
        <v>0.63492065668106079</v>
      </c>
      <c r="AI15" s="70">
        <v>47.8306884765625</v>
      </c>
      <c r="AJ15" s="70">
        <v>47.301586151123047</v>
      </c>
      <c r="AK15" s="70">
        <v>196</v>
      </c>
      <c r="AL15" s="70">
        <v>43</v>
      </c>
      <c r="AM15" s="70">
        <v>75</v>
      </c>
      <c r="AN15" s="70">
        <v>39</v>
      </c>
      <c r="AO15" s="70">
        <v>329</v>
      </c>
      <c r="AP15" s="70">
        <v>263</v>
      </c>
      <c r="AQ15" s="70">
        <v>28.739002227783203</v>
      </c>
      <c r="AR15" s="70">
        <v>6.304985523223877</v>
      </c>
      <c r="AS15" s="70">
        <v>10.997067451477051</v>
      </c>
      <c r="AT15" s="70">
        <v>5.7184748649597168</v>
      </c>
      <c r="AU15" s="70">
        <v>48.240470886230469</v>
      </c>
      <c r="AV15" s="70">
        <v>170</v>
      </c>
      <c r="AW15" s="70">
        <v>234</v>
      </c>
      <c r="AX15" s="70">
        <v>92</v>
      </c>
      <c r="AY15" s="70">
        <v>94</v>
      </c>
      <c r="AZ15" s="70">
        <v>47</v>
      </c>
      <c r="BA15" s="70">
        <v>308</v>
      </c>
      <c r="BB15" s="70">
        <v>26.687597274780273</v>
      </c>
      <c r="BC15" s="70">
        <v>36.734695434570313</v>
      </c>
      <c r="BD15" s="70">
        <v>14.442700386047363</v>
      </c>
      <c r="BE15" s="70">
        <v>14.756671905517578</v>
      </c>
      <c r="BF15" s="70">
        <v>7.3783359527587891</v>
      </c>
    </row>
    <row r="16" spans="1:58" x14ac:dyDescent="0.25">
      <c r="A16" s="71" t="s">
        <v>58</v>
      </c>
      <c r="B16" s="71" t="s">
        <v>60</v>
      </c>
      <c r="C16" s="72">
        <v>591</v>
      </c>
      <c r="D16" s="72">
        <v>75</v>
      </c>
      <c r="E16" s="72">
        <v>745</v>
      </c>
      <c r="F16" s="72">
        <v>88.738739013671875</v>
      </c>
      <c r="G16" s="72">
        <v>11.261260986328125</v>
      </c>
      <c r="H16" s="72">
        <v>1323</v>
      </c>
      <c r="I16" s="72">
        <v>19</v>
      </c>
      <c r="J16" s="72">
        <v>13</v>
      </c>
      <c r="K16" s="72">
        <v>17</v>
      </c>
      <c r="L16" s="72">
        <v>13</v>
      </c>
      <c r="M16" s="72">
        <v>26</v>
      </c>
      <c r="N16" s="72">
        <v>95.523468017578125</v>
      </c>
      <c r="O16" s="72">
        <v>1.3718411922454834</v>
      </c>
      <c r="P16" s="72">
        <v>0.93862813711166382</v>
      </c>
      <c r="Q16" s="72">
        <v>1.2274367809295654</v>
      </c>
      <c r="R16" s="72">
        <v>0.93862813711166382</v>
      </c>
      <c r="S16" s="72">
        <v>488</v>
      </c>
      <c r="T16" s="72">
        <v>352</v>
      </c>
      <c r="U16" s="72">
        <v>250</v>
      </c>
      <c r="V16" s="72">
        <v>216</v>
      </c>
      <c r="W16" s="72">
        <v>105</v>
      </c>
      <c r="X16" s="72">
        <v>34.585399627685547</v>
      </c>
      <c r="Y16" s="72">
        <v>24.946846008300781</v>
      </c>
      <c r="Z16" s="72">
        <v>17.717929840087891</v>
      </c>
      <c r="AA16" s="72">
        <v>15.308292388916016</v>
      </c>
      <c r="AB16" s="72">
        <v>7.441530704498291</v>
      </c>
      <c r="AC16" s="72">
        <v>128</v>
      </c>
      <c r="AD16" s="72">
        <v>7</v>
      </c>
      <c r="AE16" s="72">
        <v>700</v>
      </c>
      <c r="AF16" s="72">
        <v>576</v>
      </c>
      <c r="AG16" s="72">
        <v>9.0715808868408203</v>
      </c>
      <c r="AH16" s="72">
        <v>0.49610206484794617</v>
      </c>
      <c r="AI16" s="72">
        <v>49.610206604003906</v>
      </c>
      <c r="AJ16" s="72">
        <v>40.822113037109375</v>
      </c>
      <c r="AK16" s="72">
        <v>308</v>
      </c>
      <c r="AL16" s="72">
        <v>115</v>
      </c>
      <c r="AM16" s="72">
        <v>156</v>
      </c>
      <c r="AN16" s="72">
        <v>116</v>
      </c>
      <c r="AO16" s="72">
        <v>621</v>
      </c>
      <c r="AP16" s="72">
        <v>95</v>
      </c>
      <c r="AQ16" s="72">
        <v>23.404254913330078</v>
      </c>
      <c r="AR16" s="72">
        <v>8.7386016845703125</v>
      </c>
      <c r="AS16" s="72">
        <v>11.854103088378906</v>
      </c>
      <c r="AT16" s="72">
        <v>8.8145895004272461</v>
      </c>
      <c r="AU16" s="72">
        <v>47.188449859619141</v>
      </c>
      <c r="AV16" s="72">
        <v>266</v>
      </c>
      <c r="AW16" s="72">
        <v>398</v>
      </c>
      <c r="AX16" s="72">
        <v>209</v>
      </c>
      <c r="AY16" s="72">
        <v>300</v>
      </c>
      <c r="AZ16" s="72">
        <v>50</v>
      </c>
      <c r="BA16" s="72">
        <v>188</v>
      </c>
      <c r="BB16" s="72">
        <v>21.749795913696289</v>
      </c>
      <c r="BC16" s="72">
        <v>32.542926788330078</v>
      </c>
      <c r="BD16" s="72">
        <v>17.08912467956543</v>
      </c>
      <c r="BE16" s="72">
        <v>24.529844284057617</v>
      </c>
      <c r="BF16" s="72">
        <v>4.0883073806762695</v>
      </c>
    </row>
    <row r="17" spans="1:58" x14ac:dyDescent="0.25">
      <c r="A17" s="69" t="s">
        <v>61</v>
      </c>
      <c r="B17" s="69" t="s">
        <v>63</v>
      </c>
      <c r="C17" s="70">
        <v>771</v>
      </c>
      <c r="D17" s="70">
        <v>75</v>
      </c>
      <c r="E17" s="70">
        <v>716</v>
      </c>
      <c r="F17" s="70">
        <v>91.134750366210938</v>
      </c>
      <c r="G17" s="70">
        <v>8.8652486801147461</v>
      </c>
      <c r="H17" s="70">
        <v>1272</v>
      </c>
      <c r="I17" s="70">
        <v>64</v>
      </c>
      <c r="J17" s="70">
        <v>44</v>
      </c>
      <c r="K17" s="70">
        <v>19</v>
      </c>
      <c r="L17" s="70">
        <v>68</v>
      </c>
      <c r="M17" s="70">
        <v>95</v>
      </c>
      <c r="N17" s="70">
        <v>86.707565307617188</v>
      </c>
      <c r="O17" s="70">
        <v>4.3626446723937988</v>
      </c>
      <c r="P17" s="70">
        <v>2.9993183612823486</v>
      </c>
      <c r="Q17" s="70">
        <v>1.295160174369812</v>
      </c>
      <c r="R17" s="70">
        <v>4.635310173034668</v>
      </c>
      <c r="S17" s="70">
        <v>116</v>
      </c>
      <c r="T17" s="70">
        <v>257</v>
      </c>
      <c r="U17" s="70">
        <v>366</v>
      </c>
      <c r="V17" s="70">
        <v>409</v>
      </c>
      <c r="W17" s="70">
        <v>414</v>
      </c>
      <c r="X17" s="70">
        <v>7.4263763427734375</v>
      </c>
      <c r="Y17" s="70">
        <v>16.453264236450195</v>
      </c>
      <c r="Z17" s="70">
        <v>23.431497573852539</v>
      </c>
      <c r="AA17" s="70">
        <v>26.184379577636719</v>
      </c>
      <c r="AB17" s="70">
        <v>26.504482269287109</v>
      </c>
      <c r="AC17" s="70">
        <v>105</v>
      </c>
      <c r="AD17" s="70">
        <v>23</v>
      </c>
      <c r="AE17" s="70">
        <v>809</v>
      </c>
      <c r="AF17" s="70">
        <v>625</v>
      </c>
      <c r="AG17" s="70">
        <v>6.7221512794494629</v>
      </c>
      <c r="AH17" s="70">
        <v>1.4724712371826172</v>
      </c>
      <c r="AI17" s="70">
        <v>51.792572021484375</v>
      </c>
      <c r="AJ17" s="70">
        <v>40.012805938720703</v>
      </c>
      <c r="AK17" s="70">
        <v>255</v>
      </c>
      <c r="AL17" s="70">
        <v>115</v>
      </c>
      <c r="AM17" s="70">
        <v>207</v>
      </c>
      <c r="AN17" s="70">
        <v>131</v>
      </c>
      <c r="AO17" s="70">
        <v>657</v>
      </c>
      <c r="AP17" s="70">
        <v>197</v>
      </c>
      <c r="AQ17" s="70">
        <v>18.681318283081055</v>
      </c>
      <c r="AR17" s="70">
        <v>8.4249086380004883</v>
      </c>
      <c r="AS17" s="70">
        <v>15.164834976196289</v>
      </c>
      <c r="AT17" s="70">
        <v>9.5970697402954102</v>
      </c>
      <c r="AU17" s="70">
        <v>48.131866455078125</v>
      </c>
      <c r="AV17" s="70">
        <v>313</v>
      </c>
      <c r="AW17" s="70">
        <v>523</v>
      </c>
      <c r="AX17" s="70">
        <v>263</v>
      </c>
      <c r="AY17" s="70">
        <v>223</v>
      </c>
      <c r="AZ17" s="70">
        <v>56</v>
      </c>
      <c r="BA17" s="70">
        <v>184</v>
      </c>
      <c r="BB17" s="70">
        <v>22.714078903198242</v>
      </c>
      <c r="BC17" s="70">
        <v>37.953556060791016</v>
      </c>
      <c r="BD17" s="70">
        <v>19.085630416870117</v>
      </c>
      <c r="BE17" s="70">
        <v>16.18287467956543</v>
      </c>
      <c r="BF17" s="70">
        <v>4.0638608932495117</v>
      </c>
    </row>
    <row r="18" spans="1:58" x14ac:dyDescent="0.25">
      <c r="A18" s="71" t="s">
        <v>64</v>
      </c>
      <c r="B18" s="71" t="s">
        <v>66</v>
      </c>
      <c r="C18" s="72">
        <v>831</v>
      </c>
      <c r="D18" s="72">
        <v>97</v>
      </c>
      <c r="E18" s="72">
        <v>446</v>
      </c>
      <c r="F18" s="72">
        <v>89.547416687011719</v>
      </c>
      <c r="G18" s="72">
        <v>10.45258617401123</v>
      </c>
      <c r="H18" s="72">
        <v>1172</v>
      </c>
      <c r="I18" s="72">
        <v>30</v>
      </c>
      <c r="J18" s="72">
        <v>54</v>
      </c>
      <c r="K18" s="72">
        <v>17</v>
      </c>
      <c r="L18" s="72">
        <v>47</v>
      </c>
      <c r="M18" s="72">
        <v>54</v>
      </c>
      <c r="N18" s="72">
        <v>88.787879943847656</v>
      </c>
      <c r="O18" s="72">
        <v>2.2727272510528564</v>
      </c>
      <c r="P18" s="72">
        <v>4.0909090042114258</v>
      </c>
      <c r="Q18" s="72">
        <v>1.2878787517547607</v>
      </c>
      <c r="R18" s="72">
        <v>3.5606060028076172</v>
      </c>
      <c r="S18" s="72">
        <v>68</v>
      </c>
      <c r="T18" s="72">
        <v>166</v>
      </c>
      <c r="U18" s="72">
        <v>242</v>
      </c>
      <c r="V18" s="72">
        <v>332</v>
      </c>
      <c r="W18" s="72">
        <v>566</v>
      </c>
      <c r="X18" s="72">
        <v>4.9490537643432617</v>
      </c>
      <c r="Y18" s="72">
        <v>12.081513404846191</v>
      </c>
      <c r="Z18" s="72">
        <v>17.612810134887695</v>
      </c>
      <c r="AA18" s="72">
        <v>24.163026809692383</v>
      </c>
      <c r="AB18" s="72">
        <v>41.193595886230469</v>
      </c>
      <c r="AC18" s="72">
        <v>96</v>
      </c>
      <c r="AD18" s="72">
        <v>23</v>
      </c>
      <c r="AE18" s="72">
        <v>977</v>
      </c>
      <c r="AF18" s="72">
        <v>278</v>
      </c>
      <c r="AG18" s="72">
        <v>6.9868993759155273</v>
      </c>
      <c r="AH18" s="72">
        <v>1.6739447116851807</v>
      </c>
      <c r="AI18" s="72">
        <v>71.10626220703125</v>
      </c>
      <c r="AJ18" s="72">
        <v>20.23289680480957</v>
      </c>
      <c r="AK18" s="72">
        <v>262</v>
      </c>
      <c r="AL18" s="72">
        <v>92</v>
      </c>
      <c r="AM18" s="72">
        <v>180</v>
      </c>
      <c r="AN18" s="72">
        <v>111</v>
      </c>
      <c r="AO18" s="72">
        <v>587</v>
      </c>
      <c r="AP18" s="72">
        <v>142</v>
      </c>
      <c r="AQ18" s="72">
        <v>21.266233444213867</v>
      </c>
      <c r="AR18" s="72">
        <v>7.4675326347351074</v>
      </c>
      <c r="AS18" s="72">
        <v>14.610389709472656</v>
      </c>
      <c r="AT18" s="72">
        <v>9.009739875793457</v>
      </c>
      <c r="AU18" s="72">
        <v>47.646102905273438</v>
      </c>
      <c r="AV18" s="72">
        <v>248</v>
      </c>
      <c r="AW18" s="72">
        <v>396</v>
      </c>
      <c r="AX18" s="72">
        <v>253</v>
      </c>
      <c r="AY18" s="72">
        <v>278</v>
      </c>
      <c r="AZ18" s="72">
        <v>58</v>
      </c>
      <c r="BA18" s="72">
        <v>141</v>
      </c>
      <c r="BB18" s="72">
        <v>20.113544464111328</v>
      </c>
      <c r="BC18" s="72">
        <v>32.116786956787109</v>
      </c>
      <c r="BD18" s="72">
        <v>20.519060134887695</v>
      </c>
      <c r="BE18" s="72">
        <v>22.546634674072266</v>
      </c>
      <c r="BF18" s="72">
        <v>4.7039742469787598</v>
      </c>
    </row>
    <row r="19" spans="1:58" x14ac:dyDescent="0.25">
      <c r="A19" s="69" t="s">
        <v>67</v>
      </c>
      <c r="B19" s="69" t="s">
        <v>69</v>
      </c>
      <c r="C19" s="70">
        <v>909</v>
      </c>
      <c r="D19" s="70">
        <v>91</v>
      </c>
      <c r="E19" s="70">
        <v>400</v>
      </c>
      <c r="F19" s="70">
        <v>90.900001525878906</v>
      </c>
      <c r="G19" s="70">
        <v>9.1000003814697266</v>
      </c>
      <c r="H19" s="70">
        <v>1137</v>
      </c>
      <c r="I19" s="70">
        <v>61</v>
      </c>
      <c r="J19" s="70">
        <v>51</v>
      </c>
      <c r="K19" s="70">
        <v>25</v>
      </c>
      <c r="L19" s="70">
        <v>38</v>
      </c>
      <c r="M19" s="70">
        <v>88</v>
      </c>
      <c r="N19" s="70">
        <v>86.661582946777344</v>
      </c>
      <c r="O19" s="70">
        <v>4.6493902206420898</v>
      </c>
      <c r="P19" s="70">
        <v>3.8871951103210449</v>
      </c>
      <c r="Q19" s="70">
        <v>1.9054877758026123</v>
      </c>
      <c r="R19" s="70">
        <v>2.8963415622711182</v>
      </c>
      <c r="S19" s="70">
        <v>230</v>
      </c>
      <c r="T19" s="70">
        <v>303</v>
      </c>
      <c r="U19" s="70">
        <v>301</v>
      </c>
      <c r="V19" s="70">
        <v>291</v>
      </c>
      <c r="W19" s="70">
        <v>275</v>
      </c>
      <c r="X19" s="70">
        <v>16.428571701049805</v>
      </c>
      <c r="Y19" s="70">
        <v>21.642856597900391</v>
      </c>
      <c r="Z19" s="70">
        <v>21.5</v>
      </c>
      <c r="AA19" s="70">
        <v>20.785715103149414</v>
      </c>
      <c r="AB19" s="70">
        <v>19.642856597900391</v>
      </c>
      <c r="AC19" s="70">
        <v>89</v>
      </c>
      <c r="AD19" s="70">
        <v>21</v>
      </c>
      <c r="AE19" s="70">
        <v>685</v>
      </c>
      <c r="AF19" s="70">
        <v>605</v>
      </c>
      <c r="AG19" s="70">
        <v>6.3571429252624512</v>
      </c>
      <c r="AH19" s="70">
        <v>1.5</v>
      </c>
      <c r="AI19" s="70">
        <v>48.928569793701172</v>
      </c>
      <c r="AJ19" s="70">
        <v>43.214286804199219</v>
      </c>
      <c r="AK19" s="70">
        <v>367</v>
      </c>
      <c r="AL19" s="70">
        <v>107</v>
      </c>
      <c r="AM19" s="70">
        <v>161</v>
      </c>
      <c r="AN19" s="70">
        <v>111</v>
      </c>
      <c r="AO19" s="70">
        <v>544</v>
      </c>
      <c r="AP19" s="70">
        <v>110</v>
      </c>
      <c r="AQ19" s="70">
        <v>28.449611663818359</v>
      </c>
      <c r="AR19" s="70">
        <v>8.2945737838745117</v>
      </c>
      <c r="AS19" s="70">
        <v>12.480620384216309</v>
      </c>
      <c r="AT19" s="70">
        <v>8.6046514511108398</v>
      </c>
      <c r="AU19" s="70">
        <v>42.170543670654297</v>
      </c>
      <c r="AV19" s="70">
        <v>343</v>
      </c>
      <c r="AW19" s="70">
        <v>414</v>
      </c>
      <c r="AX19" s="70">
        <v>233</v>
      </c>
      <c r="AY19" s="70">
        <v>194</v>
      </c>
      <c r="AZ19" s="70">
        <v>57</v>
      </c>
      <c r="BA19" s="70">
        <v>159</v>
      </c>
      <c r="BB19" s="70">
        <v>27.638999938964844</v>
      </c>
      <c r="BC19" s="70">
        <v>33.360195159912109</v>
      </c>
      <c r="BD19" s="70">
        <v>18.775180816650391</v>
      </c>
      <c r="BE19" s="70">
        <v>15.632554054260254</v>
      </c>
      <c r="BF19" s="70">
        <v>4.5930700302124023</v>
      </c>
    </row>
    <row r="20" spans="1:58" x14ac:dyDescent="0.25">
      <c r="A20" s="71" t="s">
        <v>70</v>
      </c>
      <c r="B20" s="71" t="s">
        <v>512</v>
      </c>
      <c r="C20" s="72">
        <v>194</v>
      </c>
      <c r="D20" s="72">
        <v>27</v>
      </c>
      <c r="E20" s="72">
        <v>1228</v>
      </c>
      <c r="F20" s="72">
        <v>87.782806396484375</v>
      </c>
      <c r="G20" s="72">
        <v>12.217194557189941</v>
      </c>
      <c r="H20" s="72">
        <v>1023</v>
      </c>
      <c r="I20" s="72">
        <v>39</v>
      </c>
      <c r="J20" s="72">
        <v>128</v>
      </c>
      <c r="K20" s="72">
        <v>81</v>
      </c>
      <c r="L20" s="72">
        <v>138</v>
      </c>
      <c r="M20" s="72">
        <v>40</v>
      </c>
      <c r="N20" s="72">
        <v>72.604682922363281</v>
      </c>
      <c r="O20" s="72">
        <v>2.7679204940795898</v>
      </c>
      <c r="P20" s="72">
        <v>9.0844573974609375</v>
      </c>
      <c r="Q20" s="72">
        <v>5.7487578392028809</v>
      </c>
      <c r="R20" s="72">
        <v>9.7941799163818359</v>
      </c>
      <c r="S20" s="72">
        <v>170</v>
      </c>
      <c r="T20" s="72">
        <v>392</v>
      </c>
      <c r="U20" s="72">
        <v>331</v>
      </c>
      <c r="V20" s="72">
        <v>277</v>
      </c>
      <c r="W20" s="72">
        <v>279</v>
      </c>
      <c r="X20" s="72">
        <v>11.732229232788086</v>
      </c>
      <c r="Y20" s="72">
        <v>27.053140640258789</v>
      </c>
      <c r="Z20" s="72">
        <v>22.843339920043945</v>
      </c>
      <c r="AA20" s="72">
        <v>19.116632461547852</v>
      </c>
      <c r="AB20" s="72">
        <v>19.254657745361328</v>
      </c>
      <c r="AC20" s="72">
        <v>88</v>
      </c>
      <c r="AD20" s="72">
        <v>15</v>
      </c>
      <c r="AE20" s="72">
        <v>945</v>
      </c>
      <c r="AF20" s="72">
        <v>401</v>
      </c>
      <c r="AG20" s="72">
        <v>6.0731539726257324</v>
      </c>
      <c r="AH20" s="72">
        <v>1.0351966619491577</v>
      </c>
      <c r="AI20" s="72">
        <v>65.217391967773438</v>
      </c>
      <c r="AJ20" s="72">
        <v>27.674257278442383</v>
      </c>
      <c r="AK20" s="72">
        <v>278</v>
      </c>
      <c r="AL20" s="72">
        <v>107</v>
      </c>
      <c r="AM20" s="72">
        <v>155</v>
      </c>
      <c r="AN20" s="72">
        <v>98</v>
      </c>
      <c r="AO20" s="72">
        <v>598</v>
      </c>
      <c r="AP20" s="72">
        <v>213</v>
      </c>
      <c r="AQ20" s="72">
        <v>22.491909027099609</v>
      </c>
      <c r="AR20" s="72">
        <v>8.6569576263427734</v>
      </c>
      <c r="AS20" s="72">
        <v>12.54045295715332</v>
      </c>
      <c r="AT20" s="72">
        <v>7.928802490234375</v>
      </c>
      <c r="AU20" s="72">
        <v>48.381877899169922</v>
      </c>
      <c r="AV20" s="72">
        <v>278</v>
      </c>
      <c r="AW20" s="72">
        <v>368</v>
      </c>
      <c r="AX20" s="72">
        <v>171</v>
      </c>
      <c r="AY20" s="72">
        <v>206</v>
      </c>
      <c r="AZ20" s="72">
        <v>55</v>
      </c>
      <c r="BA20" s="72">
        <v>371</v>
      </c>
      <c r="BB20" s="72">
        <v>25.788497924804688</v>
      </c>
      <c r="BC20" s="72">
        <v>34.137290954589844</v>
      </c>
      <c r="BD20" s="72">
        <v>15.862709045410156</v>
      </c>
      <c r="BE20" s="72">
        <v>19.109462738037109</v>
      </c>
      <c r="BF20" s="72">
        <v>5.1020407676696777</v>
      </c>
    </row>
    <row r="21" spans="1:58" x14ac:dyDescent="0.25">
      <c r="A21" s="69" t="s">
        <v>72</v>
      </c>
      <c r="B21" s="69" t="s">
        <v>74</v>
      </c>
      <c r="C21" s="70">
        <v>1695</v>
      </c>
      <c r="D21" s="70">
        <v>163</v>
      </c>
      <c r="E21" s="70">
        <v>1776</v>
      </c>
      <c r="F21" s="70">
        <v>91.227127075195313</v>
      </c>
      <c r="G21" s="70">
        <v>8.7728738784790039</v>
      </c>
      <c r="H21" s="70">
        <v>3166</v>
      </c>
      <c r="I21" s="70">
        <v>111</v>
      </c>
      <c r="J21" s="70">
        <v>138</v>
      </c>
      <c r="K21" s="70">
        <v>79</v>
      </c>
      <c r="L21" s="70">
        <v>48</v>
      </c>
      <c r="M21" s="70">
        <v>92</v>
      </c>
      <c r="N21" s="70">
        <v>89.384529113769531</v>
      </c>
      <c r="O21" s="70">
        <v>3.1338226795196533</v>
      </c>
      <c r="P21" s="70">
        <v>3.8961038589477539</v>
      </c>
      <c r="Q21" s="70">
        <v>2.2303783893585205</v>
      </c>
      <c r="R21" s="70">
        <v>1.3551665544509888</v>
      </c>
      <c r="S21" s="70">
        <v>1190</v>
      </c>
      <c r="T21" s="70">
        <v>746</v>
      </c>
      <c r="U21" s="70">
        <v>679</v>
      </c>
      <c r="V21" s="70">
        <v>602</v>
      </c>
      <c r="W21" s="70">
        <v>417</v>
      </c>
      <c r="X21" s="70">
        <v>32.746284484863281</v>
      </c>
      <c r="Y21" s="70">
        <v>20.528343200683594</v>
      </c>
      <c r="Z21" s="70">
        <v>18.68464469909668</v>
      </c>
      <c r="AA21" s="70">
        <v>16.565767288208008</v>
      </c>
      <c r="AB21" s="70">
        <v>11.474958419799805</v>
      </c>
      <c r="AC21" s="70">
        <v>286</v>
      </c>
      <c r="AD21" s="70">
        <v>55</v>
      </c>
      <c r="AE21" s="70">
        <v>1893</v>
      </c>
      <c r="AF21" s="70">
        <v>1400</v>
      </c>
      <c r="AG21" s="70">
        <v>7.8701157569885254</v>
      </c>
      <c r="AH21" s="70">
        <v>1.5134837627410889</v>
      </c>
      <c r="AI21" s="70">
        <v>52.091358184814453</v>
      </c>
      <c r="AJ21" s="70">
        <v>38.525039672851563</v>
      </c>
      <c r="AK21" s="70">
        <v>667</v>
      </c>
      <c r="AL21" s="70">
        <v>250</v>
      </c>
      <c r="AM21" s="70">
        <v>376</v>
      </c>
      <c r="AN21" s="70">
        <v>307</v>
      </c>
      <c r="AO21" s="70">
        <v>1629</v>
      </c>
      <c r="AP21" s="70">
        <v>405</v>
      </c>
      <c r="AQ21" s="70">
        <v>20.656549453735352</v>
      </c>
      <c r="AR21" s="70">
        <v>7.742335319519043</v>
      </c>
      <c r="AS21" s="70">
        <v>11.644472122192383</v>
      </c>
      <c r="AT21" s="70">
        <v>9.5075874328613281</v>
      </c>
      <c r="AU21" s="70">
        <v>50.449054718017578</v>
      </c>
      <c r="AV21" s="70">
        <v>579</v>
      </c>
      <c r="AW21" s="70">
        <v>1026</v>
      </c>
      <c r="AX21" s="70">
        <v>677</v>
      </c>
      <c r="AY21" s="70">
        <v>626</v>
      </c>
      <c r="AZ21" s="70">
        <v>214</v>
      </c>
      <c r="BA21" s="70">
        <v>512</v>
      </c>
      <c r="BB21" s="70">
        <v>18.545803070068359</v>
      </c>
      <c r="BC21" s="70">
        <v>32.863548278808594</v>
      </c>
      <c r="BD21" s="70">
        <v>21.684818267822266</v>
      </c>
      <c r="BE21" s="70">
        <v>20.051248550415039</v>
      </c>
      <c r="BF21" s="70">
        <v>6.8545804023742676</v>
      </c>
    </row>
    <row r="22" spans="1:58" x14ac:dyDescent="0.25">
      <c r="A22" s="73" t="s">
        <v>75</v>
      </c>
      <c r="B22" s="73" t="s">
        <v>77</v>
      </c>
      <c r="C22" s="74">
        <v>716</v>
      </c>
      <c r="D22" s="74">
        <v>53</v>
      </c>
      <c r="E22" s="74">
        <v>1107</v>
      </c>
      <c r="F22" s="74">
        <v>93.107933044433594</v>
      </c>
      <c r="G22" s="74">
        <v>6.8920674324035645</v>
      </c>
      <c r="H22" s="74">
        <v>1755</v>
      </c>
      <c r="I22" s="74">
        <v>23</v>
      </c>
      <c r="J22" s="74">
        <v>49</v>
      </c>
      <c r="K22" s="74">
        <v>6</v>
      </c>
      <c r="L22" s="74">
        <v>23</v>
      </c>
      <c r="M22" s="74">
        <v>20</v>
      </c>
      <c r="N22" s="74">
        <v>94.558189392089844</v>
      </c>
      <c r="O22" s="74">
        <v>1.2392241954803467</v>
      </c>
      <c r="P22" s="74">
        <v>2.6400861740112305</v>
      </c>
      <c r="Q22" s="74">
        <v>0.3232758641242981</v>
      </c>
      <c r="R22" s="74">
        <v>1.2392241954803467</v>
      </c>
      <c r="S22" s="74">
        <v>684</v>
      </c>
      <c r="T22" s="74">
        <v>335</v>
      </c>
      <c r="U22" s="74">
        <v>362</v>
      </c>
      <c r="V22" s="74">
        <v>289</v>
      </c>
      <c r="W22" s="74">
        <v>206</v>
      </c>
      <c r="X22" s="74">
        <v>36.460556030273438</v>
      </c>
      <c r="Y22" s="74">
        <v>17.857143402099609</v>
      </c>
      <c r="Z22" s="74">
        <v>19.296375274658203</v>
      </c>
      <c r="AA22" s="74">
        <v>15.405117034912109</v>
      </c>
      <c r="AB22" s="74">
        <v>10.980810165405273</v>
      </c>
      <c r="AC22" s="74">
        <v>164</v>
      </c>
      <c r="AD22" s="74">
        <v>17</v>
      </c>
      <c r="AE22" s="74">
        <v>1557</v>
      </c>
      <c r="AF22" s="74">
        <v>138</v>
      </c>
      <c r="AG22" s="74">
        <v>8.74200439453125</v>
      </c>
      <c r="AH22" s="74">
        <v>0.90618336200714111</v>
      </c>
      <c r="AI22" s="74">
        <v>82.995735168457031</v>
      </c>
      <c r="AJ22" s="74">
        <v>7.356076717376709</v>
      </c>
      <c r="AK22" s="74">
        <v>432</v>
      </c>
      <c r="AL22" s="74">
        <v>149</v>
      </c>
      <c r="AM22" s="74">
        <v>229</v>
      </c>
      <c r="AN22" s="74">
        <v>145</v>
      </c>
      <c r="AO22" s="74">
        <v>820</v>
      </c>
      <c r="AP22" s="74">
        <v>101</v>
      </c>
      <c r="AQ22" s="74">
        <v>24.338027954101563</v>
      </c>
      <c r="AR22" s="74">
        <v>8.3943662643432617</v>
      </c>
      <c r="AS22" s="74">
        <v>12.901408195495605</v>
      </c>
      <c r="AT22" s="74">
        <v>8.1690139770507813</v>
      </c>
      <c r="AU22" s="74">
        <v>46.197181701660156</v>
      </c>
      <c r="AV22" s="74">
        <v>358</v>
      </c>
      <c r="AW22" s="74">
        <v>501</v>
      </c>
      <c r="AX22" s="74">
        <v>344</v>
      </c>
      <c r="AY22" s="74">
        <v>413</v>
      </c>
      <c r="AZ22" s="74">
        <v>119</v>
      </c>
      <c r="BA22" s="74">
        <v>141</v>
      </c>
      <c r="BB22" s="74">
        <v>20.634006500244141</v>
      </c>
      <c r="BC22" s="74">
        <v>28.876081466674805</v>
      </c>
      <c r="BD22" s="74">
        <v>19.827089309692383</v>
      </c>
      <c r="BE22" s="74">
        <v>23.804035186767578</v>
      </c>
      <c r="BF22" s="74">
        <v>6.8587894439697266</v>
      </c>
    </row>
  </sheetData>
  <phoneticPr fontId="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BF2"/>
  <sheetViews>
    <sheetView topLeftCell="AC1" workbookViewId="0">
      <selection activeCell="A21" sqref="A21"/>
    </sheetView>
  </sheetViews>
  <sheetFormatPr defaultRowHeight="15" x14ac:dyDescent="0.25"/>
  <cols>
    <col min="1" max="1" width="7.140625" customWidth="1"/>
    <col min="2" max="2" width="7.7109375" bestFit="1" customWidth="1"/>
    <col min="3" max="3" width="11.85546875" customWidth="1"/>
    <col min="4" max="4" width="7.42578125" customWidth="1"/>
    <col min="5" max="5" width="16" customWidth="1"/>
    <col min="6" max="6" width="13.85546875" customWidth="1"/>
    <col min="7" max="7" width="9.42578125" customWidth="1"/>
    <col min="8" max="8" width="7.42578125" customWidth="1"/>
    <col min="9" max="9" width="8.140625" customWidth="1"/>
    <col min="10" max="11" width="7.5703125" customWidth="1"/>
    <col min="12" max="12" width="7.28515625" customWidth="1"/>
    <col min="13" max="13" width="15" customWidth="1"/>
    <col min="14" max="14" width="9.42578125" customWidth="1"/>
    <col min="15" max="15" width="10.140625" customWidth="1"/>
    <col min="16" max="17" width="9.5703125" customWidth="1"/>
    <col min="18" max="18" width="9.28515625" customWidth="1"/>
    <col min="19" max="19" width="10.140625" customWidth="1"/>
    <col min="20" max="22" width="7.140625" customWidth="1"/>
    <col min="23" max="23" width="10.28515625" customWidth="1"/>
    <col min="24" max="24" width="12.140625" customWidth="1"/>
    <col min="25" max="27" width="9.140625" customWidth="1"/>
    <col min="28" max="28" width="12.28515625" customWidth="1"/>
    <col min="29" max="29" width="6.5703125" customWidth="1"/>
    <col min="30" max="30" width="10.5703125" customWidth="1"/>
    <col min="31" max="31" width="7.5703125" customWidth="1"/>
    <col min="32" max="32" width="14.7109375" customWidth="1"/>
    <col min="33" max="33" width="8.5703125" customWidth="1"/>
    <col min="34" max="34" width="8.7109375" customWidth="1"/>
    <col min="35" max="35" width="9.5703125" customWidth="1"/>
    <col min="36" max="36" width="12.42578125" customWidth="1"/>
    <col min="37" max="38" width="5.140625" customWidth="1"/>
    <col min="39" max="40" width="6.140625" customWidth="1"/>
    <col min="41" max="41" width="12.28515625" bestFit="1" customWidth="1"/>
    <col min="42" max="42" width="12.42578125" customWidth="1"/>
    <col min="43" max="44" width="7.140625" customWidth="1"/>
    <col min="45" max="46" width="8.140625" customWidth="1"/>
    <col min="47" max="47" width="7.140625" customWidth="1"/>
    <col min="48" max="52" width="6.140625" customWidth="1"/>
    <col min="53" max="53" width="13.42578125" customWidth="1"/>
    <col min="54" max="58" width="8.140625" customWidth="1"/>
    <col min="59" max="60" width="23.7109375" customWidth="1"/>
    <col min="61" max="61" width="31" customWidth="1"/>
  </cols>
  <sheetData>
    <row r="1" spans="1:58" x14ac:dyDescent="0.25">
      <c r="A1" s="63" t="s">
        <v>542</v>
      </c>
      <c r="B1" s="63" t="s">
        <v>336</v>
      </c>
      <c r="C1" s="63" t="s">
        <v>543</v>
      </c>
      <c r="D1" s="63" t="s">
        <v>544</v>
      </c>
      <c r="E1" s="63" t="s">
        <v>545</v>
      </c>
      <c r="F1" s="63" t="s">
        <v>546</v>
      </c>
      <c r="G1" s="63" t="s">
        <v>547</v>
      </c>
      <c r="H1" s="63" t="s">
        <v>548</v>
      </c>
      <c r="I1" s="63" t="s">
        <v>549</v>
      </c>
      <c r="J1" s="63" t="s">
        <v>550</v>
      </c>
      <c r="K1" s="63" t="s">
        <v>551</v>
      </c>
      <c r="L1" s="63" t="s">
        <v>552</v>
      </c>
      <c r="M1" s="63" t="s">
        <v>553</v>
      </c>
      <c r="N1" s="63" t="s">
        <v>554</v>
      </c>
      <c r="O1" s="63" t="s">
        <v>555</v>
      </c>
      <c r="P1" s="63" t="s">
        <v>556</v>
      </c>
      <c r="Q1" s="63" t="s">
        <v>557</v>
      </c>
      <c r="R1" s="63" t="s">
        <v>558</v>
      </c>
      <c r="S1" s="63" t="s">
        <v>559</v>
      </c>
      <c r="T1" s="63" t="s">
        <v>560</v>
      </c>
      <c r="U1" s="63" t="s">
        <v>561</v>
      </c>
      <c r="V1" s="63" t="s">
        <v>562</v>
      </c>
      <c r="W1" s="63" t="s">
        <v>563</v>
      </c>
      <c r="X1" s="63" t="s">
        <v>564</v>
      </c>
      <c r="Y1" s="63" t="s">
        <v>565</v>
      </c>
      <c r="Z1" s="63" t="s">
        <v>566</v>
      </c>
      <c r="AA1" s="63" t="s">
        <v>567</v>
      </c>
      <c r="AB1" s="63" t="s">
        <v>568</v>
      </c>
      <c r="AC1" s="63" t="s">
        <v>569</v>
      </c>
      <c r="AD1" s="63" t="s">
        <v>570</v>
      </c>
      <c r="AE1" s="63" t="s">
        <v>571</v>
      </c>
      <c r="AF1" s="63" t="s">
        <v>572</v>
      </c>
      <c r="AG1" s="63" t="s">
        <v>573</v>
      </c>
      <c r="AH1" s="63" t="s">
        <v>574</v>
      </c>
      <c r="AI1" s="63" t="s">
        <v>575</v>
      </c>
      <c r="AJ1" s="63" t="s">
        <v>576</v>
      </c>
      <c r="AK1" s="63" t="s">
        <v>577</v>
      </c>
      <c r="AL1" s="63" t="s">
        <v>578</v>
      </c>
      <c r="AM1" s="63" t="s">
        <v>579</v>
      </c>
      <c r="AN1" s="63" t="s">
        <v>580</v>
      </c>
      <c r="AO1" s="63" t="s">
        <v>581</v>
      </c>
      <c r="AP1" s="63" t="s">
        <v>582</v>
      </c>
      <c r="AQ1" s="63" t="s">
        <v>583</v>
      </c>
      <c r="AR1" s="63" t="s">
        <v>584</v>
      </c>
      <c r="AS1" s="63" t="s">
        <v>585</v>
      </c>
      <c r="AT1" s="63" t="s">
        <v>586</v>
      </c>
      <c r="AU1" s="63" t="s">
        <v>587</v>
      </c>
      <c r="AV1" s="63" t="s">
        <v>588</v>
      </c>
      <c r="AW1" s="63" t="s">
        <v>589</v>
      </c>
      <c r="AX1" s="63" t="s">
        <v>590</v>
      </c>
      <c r="AY1" s="63" t="s">
        <v>591</v>
      </c>
      <c r="AZ1" s="63" t="s">
        <v>592</v>
      </c>
      <c r="BA1" s="63" t="s">
        <v>593</v>
      </c>
      <c r="BB1" s="63" t="s">
        <v>594</v>
      </c>
      <c r="BC1" s="63" t="s">
        <v>595</v>
      </c>
      <c r="BD1" s="63" t="s">
        <v>596</v>
      </c>
      <c r="BE1" s="63" t="s">
        <v>597</v>
      </c>
      <c r="BF1" s="63" t="s">
        <v>598</v>
      </c>
    </row>
    <row r="2" spans="1:58" s="65" customFormat="1" x14ac:dyDescent="0.25">
      <c r="A2" s="64">
        <v>1</v>
      </c>
      <c r="B2" s="64" t="s">
        <v>407</v>
      </c>
      <c r="C2" s="64">
        <v>15529</v>
      </c>
      <c r="D2" s="64">
        <v>1476</v>
      </c>
      <c r="E2" s="64">
        <v>17473</v>
      </c>
      <c r="F2" s="64">
        <v>91.320198059082031</v>
      </c>
      <c r="G2" s="64">
        <v>8.6798000335693359</v>
      </c>
      <c r="H2" s="64">
        <v>29938</v>
      </c>
      <c r="I2" s="64">
        <v>801</v>
      </c>
      <c r="J2" s="64">
        <v>1047</v>
      </c>
      <c r="K2" s="64">
        <v>822</v>
      </c>
      <c r="L2" s="64">
        <v>808</v>
      </c>
      <c r="M2" s="64">
        <v>1062</v>
      </c>
      <c r="N2" s="64">
        <v>89.591812133789063</v>
      </c>
      <c r="O2" s="64">
        <v>2.3970553874969482</v>
      </c>
      <c r="P2" s="64">
        <v>3.1332294940948486</v>
      </c>
      <c r="Q2" s="64">
        <v>2.4598994255065918</v>
      </c>
      <c r="R2" s="64">
        <v>2.4180033206939697</v>
      </c>
      <c r="S2" s="64">
        <v>9055</v>
      </c>
      <c r="T2" s="64">
        <v>7385</v>
      </c>
      <c r="U2" s="64">
        <v>6859</v>
      </c>
      <c r="V2" s="64">
        <v>6016</v>
      </c>
      <c r="W2" s="64">
        <v>5163</v>
      </c>
      <c r="X2" s="64">
        <v>26.263124465942383</v>
      </c>
      <c r="Y2" s="64">
        <v>21.419456481933594</v>
      </c>
      <c r="Z2" s="64">
        <v>19.893844604492188</v>
      </c>
      <c r="AA2" s="64">
        <v>17.448808670043945</v>
      </c>
      <c r="AB2" s="64">
        <v>14.974766731262207</v>
      </c>
      <c r="AC2" s="64">
        <v>2541</v>
      </c>
      <c r="AD2" s="64">
        <v>466</v>
      </c>
      <c r="AE2" s="64">
        <v>19345</v>
      </c>
      <c r="AF2" s="64">
        <v>12126</v>
      </c>
      <c r="AG2" s="64">
        <v>7.3699169158935547</v>
      </c>
      <c r="AH2" s="64">
        <v>1.3515864610671997</v>
      </c>
      <c r="AI2" s="64">
        <v>56.108242034912109</v>
      </c>
      <c r="AJ2" s="64">
        <v>35.170253753662109</v>
      </c>
      <c r="AK2" s="64">
        <v>6756</v>
      </c>
      <c r="AL2" s="64">
        <v>2353</v>
      </c>
      <c r="AM2" s="64">
        <v>3639</v>
      </c>
      <c r="AN2" s="64">
        <v>2771</v>
      </c>
      <c r="AO2" s="64">
        <v>14140</v>
      </c>
      <c r="AP2" s="64">
        <v>4819</v>
      </c>
      <c r="AQ2" s="64">
        <v>22.778921127319336</v>
      </c>
      <c r="AR2" s="64">
        <v>7.9335107803344727</v>
      </c>
      <c r="AS2" s="64">
        <v>12.269462585449219</v>
      </c>
      <c r="AT2" s="64">
        <v>9.3428640365600586</v>
      </c>
      <c r="AU2" s="64">
        <v>47.675243377685547</v>
      </c>
      <c r="AV2" s="64">
        <v>6083</v>
      </c>
      <c r="AW2" s="64">
        <v>9188</v>
      </c>
      <c r="AX2" s="64">
        <v>5626</v>
      </c>
      <c r="AY2" s="64">
        <v>5835</v>
      </c>
      <c r="AZ2" s="64">
        <v>1770</v>
      </c>
      <c r="BA2" s="64">
        <v>5976</v>
      </c>
      <c r="BB2" s="64">
        <v>21.342361450195313</v>
      </c>
      <c r="BC2" s="64">
        <v>32.236335754394531</v>
      </c>
      <c r="BD2" s="64">
        <v>19.73896598815918</v>
      </c>
      <c r="BE2" s="64">
        <v>20.472248077392578</v>
      </c>
      <c r="BF2" s="64">
        <v>6.2100906372070313</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C7:C19"/>
  <sheetViews>
    <sheetView showGridLines="0" showRowColHeaders="0" workbookViewId="0"/>
  </sheetViews>
  <sheetFormatPr defaultRowHeight="15" x14ac:dyDescent="0.25"/>
  <cols>
    <col min="3" max="3" width="108.85546875" customWidth="1"/>
  </cols>
  <sheetData>
    <row r="7" spans="3:3" ht="165" x14ac:dyDescent="0.25">
      <c r="C7" s="117" t="s">
        <v>624</v>
      </c>
    </row>
    <row r="9" spans="3:3" ht="105" x14ac:dyDescent="0.25">
      <c r="C9" s="5" t="s">
        <v>618</v>
      </c>
    </row>
    <row r="11" spans="3:3" ht="45" x14ac:dyDescent="0.25">
      <c r="C11" s="5" t="s">
        <v>620</v>
      </c>
    </row>
    <row r="13" spans="3:3" ht="30" x14ac:dyDescent="0.25">
      <c r="C13" s="5" t="s">
        <v>619</v>
      </c>
    </row>
    <row r="15" spans="3:3" x14ac:dyDescent="0.25">
      <c r="C15" t="s">
        <v>621</v>
      </c>
    </row>
    <row r="17" spans="3:3" ht="135" x14ac:dyDescent="0.25">
      <c r="C17" s="5" t="s">
        <v>622</v>
      </c>
    </row>
    <row r="19" spans="3:3" ht="105" x14ac:dyDescent="0.25">
      <c r="C19" s="5" t="s">
        <v>623</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C2:R99"/>
  <sheetViews>
    <sheetView showGridLines="0" showRowColHeaders="0" tabSelected="1" zoomScale="80" zoomScaleNormal="80" workbookViewId="0">
      <pane ySplit="22" topLeftCell="A23" activePane="bottomLeft" state="frozen"/>
      <selection pane="bottomLeft"/>
    </sheetView>
  </sheetViews>
  <sheetFormatPr defaultRowHeight="15" x14ac:dyDescent="0.25"/>
  <cols>
    <col min="1" max="1" width="3.85546875" customWidth="1"/>
    <col min="2" max="2" width="3" customWidth="1"/>
    <col min="3" max="3" width="3.5703125" customWidth="1"/>
    <col min="4" max="4" width="46.85546875" customWidth="1"/>
    <col min="5" max="5" width="20.42578125" customWidth="1"/>
    <col min="6" max="6" width="20.140625" bestFit="1" customWidth="1"/>
    <col min="7" max="7" width="18.140625" bestFit="1" customWidth="1"/>
    <col min="8" max="8" width="19.140625" bestFit="1" customWidth="1"/>
    <col min="9" max="9" width="7.5703125" customWidth="1"/>
    <col min="10" max="10" width="4" customWidth="1"/>
    <col min="11" max="11" width="50.140625" customWidth="1"/>
    <col min="12" max="12" width="17.42578125" bestFit="1" customWidth="1"/>
    <col min="13" max="13" width="16.5703125" customWidth="1"/>
    <col min="14" max="14" width="3.140625" customWidth="1"/>
    <col min="15" max="15" width="23.7109375" customWidth="1"/>
    <col min="16" max="16" width="19.28515625" bestFit="1" customWidth="1"/>
    <col min="17" max="17" width="18.140625" bestFit="1" customWidth="1"/>
    <col min="18" max="18" width="19.28515625" bestFit="1" customWidth="1"/>
  </cols>
  <sheetData>
    <row r="2" spans="4:18" x14ac:dyDescent="0.25">
      <c r="J2" s="1" t="s">
        <v>516</v>
      </c>
      <c r="L2" s="2"/>
    </row>
    <row r="3" spans="4:18" ht="15.75" thickBot="1" x14ac:dyDescent="0.3">
      <c r="L3" s="2"/>
    </row>
    <row r="4" spans="4:18" ht="15.75" thickBot="1" x14ac:dyDescent="0.3">
      <c r="J4" s="135" t="s">
        <v>134</v>
      </c>
      <c r="K4" s="136"/>
      <c r="L4" s="136"/>
      <c r="M4" s="137"/>
    </row>
    <row r="6" spans="4:18" x14ac:dyDescent="0.25">
      <c r="K6" s="16" t="str">
        <f>"This selected Trust is within the "&amp;selected_trust_ca_name&amp;" Cancer Alliance"</f>
        <v>This selected Trust is within the West Yorkshire and Harrogate Cancer Alliance</v>
      </c>
    </row>
    <row r="8" spans="4:18" x14ac:dyDescent="0.25">
      <c r="D8" s="1" t="s">
        <v>518</v>
      </c>
      <c r="F8" s="2"/>
      <c r="J8" s="1" t="s">
        <v>517</v>
      </c>
    </row>
    <row r="9" spans="4:18" ht="15.75" thickBot="1" x14ac:dyDescent="0.3">
      <c r="F9" s="2"/>
      <c r="M9" t="s">
        <v>385</v>
      </c>
    </row>
    <row r="10" spans="4:18" ht="15.75" customHeight="1" thickBot="1" x14ac:dyDescent="0.3">
      <c r="D10" s="135" t="s">
        <v>450</v>
      </c>
      <c r="E10" s="136"/>
      <c r="F10" s="136"/>
      <c r="G10" s="137"/>
      <c r="J10" s="150" t="s">
        <v>332</v>
      </c>
      <c r="K10" s="151"/>
      <c r="L10" s="151"/>
      <c r="M10" s="152"/>
      <c r="O10" s="134" t="str">
        <f>INDEX(indicator_list!$A$2:$I$11,MATCH(selected_indic_descr,indicator_list!$A$2:$A$11,0),MATCH("risk_adjust_comment",indicator_list!$A$1:$I$1,0))</f>
        <v/>
      </c>
      <c r="P10" s="134"/>
      <c r="Q10" s="134"/>
    </row>
    <row r="11" spans="4:18" x14ac:dyDescent="0.25">
      <c r="F11" s="2"/>
      <c r="M11" t="s">
        <v>385</v>
      </c>
      <c r="O11" s="134"/>
      <c r="P11" s="134"/>
      <c r="Q11" s="134"/>
    </row>
    <row r="12" spans="4:18" ht="15" customHeight="1" x14ac:dyDescent="0.25">
      <c r="F12" s="2"/>
      <c r="K12" s="1" t="str">
        <f>indicator_list!$E$1</f>
        <v>Numerator:</v>
      </c>
      <c r="O12" s="134"/>
      <c r="P12" s="134"/>
      <c r="Q12" s="134"/>
      <c r="R12" s="130"/>
    </row>
    <row r="13" spans="4:18" x14ac:dyDescent="0.25">
      <c r="F13" s="2"/>
      <c r="K13" s="157" t="str">
        <f>INDEX(indicator_list!$A$2:$H$11,MATCH(selected_indic_descr,indicator_list!$A$2:$A$11,0),MATCH(K12,indicator_list!$A$1:$H$1,0))</f>
        <v>Number of patients with stage IV disease</v>
      </c>
      <c r="L13" s="157"/>
      <c r="M13" s="157"/>
      <c r="O13" s="134"/>
      <c r="P13" s="134"/>
      <c r="Q13" s="134"/>
      <c r="R13" s="130"/>
    </row>
    <row r="14" spans="4:18" x14ac:dyDescent="0.25">
      <c r="F14" s="2"/>
      <c r="K14" s="157"/>
      <c r="L14" s="157"/>
      <c r="M14" s="157"/>
      <c r="O14" s="134"/>
      <c r="P14" s="134"/>
      <c r="Q14" s="134"/>
      <c r="R14" s="130"/>
    </row>
    <row r="15" spans="4:18" ht="15" customHeight="1" x14ac:dyDescent="0.25">
      <c r="K15" s="1" t="str">
        <f>indicator_list!$F$1</f>
        <v>Denominator:</v>
      </c>
      <c r="O15" s="134"/>
      <c r="P15" s="134"/>
      <c r="Q15" s="134"/>
      <c r="R15" s="130"/>
    </row>
    <row r="16" spans="4:18" ht="15.75" customHeight="1" x14ac:dyDescent="0.25">
      <c r="K16" s="157" t="str">
        <f>INDEX(indicator_list!$A$2:$H$11,MATCH(selected_indic_descr,indicator_list!$A$2:$A$11,0),MATCH(K15,indicator_list!$A$1:$H$1,0))</f>
        <v xml:space="preserve">All patients with a new diagnosis of lung cancer (excludes mesothelioma) and recorded disease stage. </v>
      </c>
      <c r="L16" s="157"/>
      <c r="M16" s="157"/>
      <c r="O16" s="134"/>
      <c r="P16" s="134"/>
      <c r="Q16" s="134"/>
      <c r="R16" s="130"/>
    </row>
    <row r="17" spans="3:18" ht="15.75" customHeight="1" x14ac:dyDescent="0.25">
      <c r="K17" s="157"/>
      <c r="L17" s="157"/>
      <c r="M17" s="157"/>
      <c r="O17" s="134"/>
      <c r="P17" s="134"/>
      <c r="Q17" s="134"/>
      <c r="R17" s="130"/>
    </row>
    <row r="18" spans="3:18" ht="14.25" customHeight="1" x14ac:dyDescent="0.25">
      <c r="K18" s="1" t="str">
        <f>indicator_list!$G$1</f>
        <v>Risk adjustment:</v>
      </c>
      <c r="O18" s="134"/>
      <c r="P18" s="134"/>
      <c r="Q18" s="134"/>
    </row>
    <row r="19" spans="3:18" ht="15" customHeight="1" x14ac:dyDescent="0.25">
      <c r="F19" s="2"/>
      <c r="K19" s="157" t="str">
        <f>INDEX(indicator_list!$A$2:$H$11,MATCH(selected_indic_descr,indicator_list!$A$2:$A$11,0),MATCH(K18,indicator_list!$A$1:$H$1,0))</f>
        <v>No</v>
      </c>
      <c r="L19" s="157"/>
      <c r="M19" s="157"/>
    </row>
    <row r="20" spans="3:18" x14ac:dyDescent="0.25">
      <c r="F20" s="2"/>
      <c r="K20" s="157"/>
      <c r="L20" s="157"/>
      <c r="M20" s="157"/>
    </row>
    <row r="21" spans="3:18" x14ac:dyDescent="0.25">
      <c r="F21" s="2"/>
      <c r="K21" s="129"/>
      <c r="L21" s="129"/>
      <c r="M21" s="129"/>
    </row>
    <row r="22" spans="3:18" x14ac:dyDescent="0.25">
      <c r="D22" s="50"/>
      <c r="O22" s="130"/>
      <c r="P22" s="130"/>
      <c r="Q22" s="130"/>
      <c r="R22" s="130"/>
    </row>
    <row r="24" spans="3:18" ht="15" customHeight="1" x14ac:dyDescent="0.25">
      <c r="C24" s="144" t="str">
        <f>"Figure 1: "&amp;D10</f>
        <v>Figure 1: Data completeness for Basis of Diagnosis</v>
      </c>
      <c r="D24" s="144"/>
      <c r="E24" s="144"/>
      <c r="F24" s="144"/>
      <c r="G24" s="144"/>
      <c r="J24" s="144" t="str">
        <f>"Figure 2: "&amp;J10</f>
        <v>Figure 2: Proportion of patients with stage IV disease</v>
      </c>
      <c r="K24" s="144"/>
      <c r="L24" s="144"/>
      <c r="M24" s="144"/>
      <c r="N24" s="102"/>
      <c r="O24" s="144" t="str">
        <f>"Figure 3: Funnel plot for "&amp;J10</f>
        <v>Figure 3: Funnel plot for Proportion of patients with stage IV disease</v>
      </c>
      <c r="P24" s="144"/>
      <c r="Q24" s="144"/>
      <c r="R24" s="144"/>
    </row>
    <row r="25" spans="3:18" x14ac:dyDescent="0.25">
      <c r="C25" s="144"/>
      <c r="D25" s="144"/>
      <c r="E25" s="144"/>
      <c r="F25" s="144"/>
      <c r="G25" s="144"/>
      <c r="J25" s="144"/>
      <c r="K25" s="144"/>
      <c r="L25" s="144"/>
      <c r="M25" s="144"/>
      <c r="N25" s="102"/>
      <c r="O25" s="144"/>
      <c r="P25" s="144"/>
      <c r="Q25" s="144"/>
      <c r="R25" s="144"/>
    </row>
    <row r="47" spans="3:18" x14ac:dyDescent="0.25">
      <c r="C47" s="144" t="str">
        <f>"Table 1: "&amp;selected_dq_descr</f>
        <v>Table 1: Data completeness for Basis of Diagnosis</v>
      </c>
      <c r="D47" s="144"/>
      <c r="E47" s="144"/>
      <c r="F47" s="144"/>
      <c r="G47" s="144"/>
      <c r="H47" s="144"/>
      <c r="J47" s="144" t="str">
        <f>"Table 2: "&amp;selected_indic_descr</f>
        <v>Table 2: Proportion of patients with stage IV disease</v>
      </c>
      <c r="K47" s="144"/>
      <c r="L47" s="144"/>
      <c r="M47" s="144"/>
      <c r="N47" s="144"/>
      <c r="O47" s="144"/>
      <c r="P47" s="144"/>
      <c r="Q47" s="144"/>
      <c r="R47" s="144"/>
    </row>
    <row r="48" spans="3:18" x14ac:dyDescent="0.25">
      <c r="C48" s="144"/>
      <c r="D48" s="144"/>
      <c r="E48" s="144"/>
      <c r="F48" s="144"/>
      <c r="G48" s="144"/>
      <c r="H48" s="144"/>
      <c r="J48" s="144"/>
      <c r="K48" s="144"/>
      <c r="L48" s="144"/>
      <c r="M48" s="144"/>
      <c r="N48" s="144"/>
      <c r="O48" s="144"/>
      <c r="P48" s="144"/>
      <c r="Q48" s="144"/>
      <c r="R48" s="144"/>
    </row>
    <row r="49" spans="3:18" x14ac:dyDescent="0.25">
      <c r="K49" s="1"/>
      <c r="L49" s="1"/>
      <c r="Q49" s="2"/>
    </row>
    <row r="50" spans="3:18" x14ac:dyDescent="0.25">
      <c r="D50" s="104"/>
      <c r="E50" s="44"/>
      <c r="F50" s="148" t="s">
        <v>398</v>
      </c>
      <c r="G50" s="38" t="s">
        <v>397</v>
      </c>
      <c r="H50" s="79" t="s">
        <v>367</v>
      </c>
      <c r="K50" s="104"/>
      <c r="L50" s="20"/>
      <c r="M50" s="148" t="s">
        <v>398</v>
      </c>
      <c r="N50" s="148"/>
      <c r="O50" s="158" t="s">
        <v>382</v>
      </c>
      <c r="P50" s="158"/>
      <c r="Q50" s="158" t="s">
        <v>617</v>
      </c>
      <c r="R50" s="159"/>
    </row>
    <row r="51" spans="3:18" x14ac:dyDescent="0.25">
      <c r="D51" s="105"/>
      <c r="E51" s="8"/>
      <c r="F51" s="149"/>
      <c r="G51" s="39" t="str">
        <f>"(Target: "&amp;IF(INDEX(data_quality_list!$A$1:$C$11,MATCH(selected_dq_descr,data_quality_list!$A$1:$A$11,0),3)="NA","NA)",INDEX(data_quality_list!$A$1:$C$11,MATCH(selected_dq_descr,data_quality_list!$A$1:$A$11,0),3)*100&amp;"%)")</f>
        <v>(Target: 90%)</v>
      </c>
      <c r="H51" s="80"/>
      <c r="K51" s="105"/>
      <c r="L51" s="21"/>
      <c r="M51" s="149"/>
      <c r="N51" s="149"/>
      <c r="O51" s="23" t="s">
        <v>397</v>
      </c>
      <c r="P51" s="17" t="s">
        <v>367</v>
      </c>
      <c r="Q51" s="23" t="s">
        <v>397</v>
      </c>
      <c r="R51" s="108" t="s">
        <v>367</v>
      </c>
    </row>
    <row r="52" spans="3:18" x14ac:dyDescent="0.25">
      <c r="D52" s="87" t="str">
        <f>selected_trust</f>
        <v>Airedale NHS Foundation Trust</v>
      </c>
      <c r="F52">
        <f>INDEX(trust_data_quality!$A$2:$T$127,MATCH(selected_trust,trust_data_quality!$A$2:$A$127,0),MATCH(selected_dq_denom,trust_data_quality!$A$1:$T$1,0))</f>
        <v>129</v>
      </c>
      <c r="G52" s="110">
        <f>INDEX(trust_data_quality!$A$2:$T$127,MATCH(selected_trust,trust_data_quality!$A$2:$A$127,0),MATCH(selected_dq_name,trust_data_quality!$A$1:$T$1,0))</f>
        <v>96.899223327636719</v>
      </c>
      <c r="H52" s="106">
        <f>INDEX(trust_data_quality!$A$2:$T$127,MATCH(selected_trust,trust_data_quality!$A$2:$A$127,0),MATCH(trust_data_quality!$S$1,trust_data_quality!$A$1:$T$1,0))</f>
        <v>90</v>
      </c>
      <c r="K52" s="138" t="str">
        <f>selected_trust</f>
        <v>Airedale NHS Foundation Trust</v>
      </c>
      <c r="L52" s="139"/>
      <c r="M52" s="160">
        <f>INDEX(trust_indicator_data!$A$2:$BE$127,MATCH(selected_trust,trust_indicator_data!$A$2:$A$127,0),MATCH("selected_indic_denom_trust_value_small_suppr",trust_indicator_data!$A$1:$BE$1,0))</f>
        <v>129</v>
      </c>
      <c r="N52" s="160"/>
      <c r="O52" s="88">
        <f>INDEX(trust_indicator_data!$A$2:$BE$127,MATCH(selected_trust,trust_indicator_data!$A$2:$A$127,0),MATCH("selected_indicator_unadj_trust_value_small_suppr",trust_indicator_data!$A$1:$BE$1,0))</f>
        <v>46.774192810058594</v>
      </c>
      <c r="P52" s="89">
        <f>INDEX(trust_indicator_data!$A$2:$BE$127,MATCH(selected_trust,trust_indicator_data!$A$2:$A$127,0),MATCH("selected_indicator_unadj_trust_rank_small_suppr",trust_indicator_data!$A$1:$BE$1,0))</f>
        <v>47</v>
      </c>
      <c r="Q52" s="112" t="str">
        <f>INDEX(trust_indicator_data!$A$2:$AK$127,MATCH(selected_trust,trust_indicator_data!$A$2:$A$127,0),MATCH("selected_indicator_adj_trust_value_small_suppr",trust_indicator_data!$A$1:$AK$1,0))</f>
        <v>NRA*</v>
      </c>
      <c r="R52" s="90" t="str">
        <f>INDEX(trust_indicator_data!$A$2:$AK$127,MATCH(selected_trust,trust_indicator_data!$A$2:$A$127,0),MATCH("selected_indicator_adj_trust_rank_small_suppr",trust_indicator_data!$A$1:$AK$1,0))</f>
        <v>NRA*</v>
      </c>
    </row>
    <row r="53" spans="3:18" x14ac:dyDescent="0.25">
      <c r="D53" s="87" t="str">
        <f>selected_trust_ca_name&amp;" cancer alliance"</f>
        <v>West Yorkshire and Harrogate cancer alliance</v>
      </c>
      <c r="F53" s="37">
        <f>INDEX(aliance_data_quality!$A$2:$T$22,MATCH(selected_trust_ca_name,aliance_data_quality!$A$2:$A$22,0),MATCH(selected_dq_denom,aliance_data_quality!$A$1:$T$1,0))</f>
        <v>1876</v>
      </c>
      <c r="G53" s="110">
        <f>INDEX(aliance_data_quality!$A$2:$T$22,MATCH(selected_trust_ca_name,aliance_data_quality!$A$2:$A$22,0),MATCH(selected_dq_name,aliance_data_quality!$A$1:$T$1,0))</f>
        <v>97.921112060546875</v>
      </c>
      <c r="H53" s="106">
        <f>INDEX(aliance_data_quality!$A$2:$T$22,MATCH(selected_trust_ca_name,aliance_data_quality!$A$2:$A$22,0),MATCH(aliance_data_quality!$T$1,aliance_data_quality!$A$1:$T$1,0))</f>
        <v>21</v>
      </c>
      <c r="K53" s="140" t="str">
        <f>selected_trust_ca_name&amp;" cancer alliance"</f>
        <v>West Yorkshire and Harrogate cancer alliance</v>
      </c>
      <c r="L53" s="141"/>
      <c r="M53" s="161">
        <f>INDEX(aliance_indicator_data!$A$2:$AI$22,MATCH(selected_trust_ca_name,aliance_indicator_data!$A$2:$A$22,0),MATCH(selected_indic_denom,aliance_indicator_data!$A$1:$AI$1,0))</f>
        <v>1876</v>
      </c>
      <c r="N53" s="161"/>
      <c r="O53" s="88">
        <f>INDEX(aliance_indicator_data!$A$2:$AI$22,MATCH(selected_trust_ca_name,aliance_indicator_data!$A$2:$A$22,0),MATCH(selected_indic_name_unadj,aliance_indicator_data!$A$1:$AI$1,0))</f>
        <v>46.197181701660156</v>
      </c>
      <c r="P53" s="103">
        <f>INDEX(aliance_indicator_data!$A$2:$AI$22,MATCH(selected_trust_ca_name,aliance_indicator_data!$A$2:$A$22,0),MATCH(aliance_indicator_data!$AG$1,aliance_indicator_data!$A$1:$AI$1,0))</f>
        <v>6</v>
      </c>
      <c r="Q53" s="112" t="str">
        <f>INDEX(aliance_indicator_data!$A$2:$AI$22,MATCH(selected_trust_ca_name,aliance_indicator_data!$A$2:$A$22,0),MATCH(selected_indic_name_adj,aliance_indicator_data!$A$1:$AI$1,0))</f>
        <v>NRA*</v>
      </c>
      <c r="R53" s="90" t="str">
        <f>INDEX(aliance_indicator_data!$A$2:$AI$22,MATCH(selected_trust_ca_name,aliance_indicator_data!$A$2:$A$22,0),MATCH(aliance_indicator_data!$AI$1,aliance_indicator_data!$A$1:$AI$1,0))</f>
        <v>NRA*</v>
      </c>
    </row>
    <row r="54" spans="3:18" x14ac:dyDescent="0.25">
      <c r="D54" s="91" t="s">
        <v>388</v>
      </c>
      <c r="E54" s="8"/>
      <c r="F54" s="47">
        <f>INDEX(table_national_dq,2,MATCH(selected_dq_denom,national_data_quality!$A$1:$P$1,0))</f>
        <v>34478</v>
      </c>
      <c r="G54" s="111">
        <f>INDEX(table_national_dq,2,MATCH(selected_dq_name,national_data_quality!$A$1:$P$1,0))</f>
        <v>90.399673461914063</v>
      </c>
      <c r="H54" s="107" t="s">
        <v>339</v>
      </c>
      <c r="K54" s="91" t="s">
        <v>388</v>
      </c>
      <c r="L54" s="8"/>
      <c r="M54" s="162">
        <f>INDEX(table_national_indic,2,MATCH(selected_indic_denom,national_indicator_data!$A$1:$R$1,0))</f>
        <v>34478</v>
      </c>
      <c r="N54" s="162"/>
      <c r="O54" s="22">
        <f>INDEX(table_national_indic,2,MATCH(selected_indic_name_unadj,national_indicator_data!A1:R1,0))</f>
        <v>47.675243377685547</v>
      </c>
      <c r="P54" s="45" t="s">
        <v>339</v>
      </c>
      <c r="Q54" s="113" t="s">
        <v>339</v>
      </c>
      <c r="R54" s="109" t="s">
        <v>339</v>
      </c>
    </row>
    <row r="55" spans="3:18" x14ac:dyDescent="0.25">
      <c r="D55" t="s">
        <v>635</v>
      </c>
      <c r="O55" t="s">
        <v>610</v>
      </c>
    </row>
    <row r="57" spans="3:18" x14ac:dyDescent="0.25">
      <c r="C57" s="145" t="str">
        <f>"Table 3: "&amp;selected_dq_descr&amp;" at NHS Trusts within the "&amp;selected_trust_ca_name&amp;" Cancer Alliance"</f>
        <v>Table 3: Data completeness for Basis of Diagnosis at NHS Trusts within the West Yorkshire and Harrogate Cancer Alliance</v>
      </c>
      <c r="D57" s="145"/>
      <c r="E57" s="145"/>
      <c r="F57" s="145"/>
      <c r="G57" s="145"/>
      <c r="H57" s="145"/>
      <c r="J57" s="144" t="str">
        <f>"Table 4: "&amp;selected_indic_descr&amp;" at NHS Trusts within the "&amp;selected_trust_ca_name&amp;" Cancer Alliance"</f>
        <v>Table 4: Proportion of patients with stage IV disease at NHS Trusts within the West Yorkshire and Harrogate Cancer Alliance</v>
      </c>
      <c r="K57" s="144"/>
      <c r="L57" s="144"/>
      <c r="M57" s="144"/>
      <c r="N57" s="144"/>
      <c r="O57" s="144"/>
      <c r="P57" s="144"/>
      <c r="Q57" s="144"/>
      <c r="R57" s="144"/>
    </row>
    <row r="58" spans="3:18" x14ac:dyDescent="0.25">
      <c r="C58" s="145"/>
      <c r="D58" s="145"/>
      <c r="E58" s="145"/>
      <c r="F58" s="145"/>
      <c r="G58" s="145"/>
      <c r="H58" s="145"/>
      <c r="J58" s="144"/>
      <c r="K58" s="144"/>
      <c r="L58" s="144"/>
      <c r="M58" s="144"/>
      <c r="N58" s="144"/>
      <c r="O58" s="144"/>
      <c r="P58" s="144"/>
      <c r="Q58" s="144"/>
      <c r="R58" s="144"/>
    </row>
    <row r="59" spans="3:18" x14ac:dyDescent="0.25">
      <c r="D59" s="1"/>
      <c r="L59" s="1"/>
      <c r="Q59" s="2"/>
    </row>
    <row r="60" spans="3:18" x14ac:dyDescent="0.25">
      <c r="D60" s="153" t="s">
        <v>335</v>
      </c>
      <c r="E60" s="44"/>
      <c r="F60" s="148" t="s">
        <v>398</v>
      </c>
      <c r="G60" s="38" t="s">
        <v>397</v>
      </c>
      <c r="H60" s="79" t="s">
        <v>367</v>
      </c>
      <c r="K60" s="153" t="s">
        <v>335</v>
      </c>
      <c r="L60" s="154"/>
      <c r="M60" s="148" t="s">
        <v>398</v>
      </c>
      <c r="N60" s="148"/>
      <c r="O60" s="158" t="s">
        <v>382</v>
      </c>
      <c r="P60" s="158"/>
      <c r="Q60" s="158" t="s">
        <v>617</v>
      </c>
      <c r="R60" s="159"/>
    </row>
    <row r="61" spans="3:18" x14ac:dyDescent="0.25">
      <c r="D61" s="155"/>
      <c r="E61" s="8"/>
      <c r="F61" s="149"/>
      <c r="G61" s="39" t="str">
        <f>"(Target: "&amp;IF(INDEX(data_quality_list!$A$1:$C$11,MATCH(selected_dq_descr,data_quality_list!$A$1:$A$11,0),3)="NA","NA)",INDEX(data_quality_list!$A$1:$C$11,MATCH(selected_dq_descr,data_quality_list!$A$1:$A$11,0),3)*100&amp;"%)")</f>
        <v>(Target: 90%)</v>
      </c>
      <c r="H61" s="80"/>
      <c r="K61" s="155"/>
      <c r="L61" s="156"/>
      <c r="M61" s="149"/>
      <c r="N61" s="149"/>
      <c r="O61" s="23" t="s">
        <v>397</v>
      </c>
      <c r="P61" s="17" t="s">
        <v>366</v>
      </c>
      <c r="Q61" s="23" t="s">
        <v>397</v>
      </c>
      <c r="R61" s="86" t="s">
        <v>366</v>
      </c>
    </row>
    <row r="62" spans="3:18" x14ac:dyDescent="0.25">
      <c r="D62" s="81" t="str" cm="1">
        <f t="array" ref="D62">IF(ROWS($D$61:D61)&lt;=n_trusts_in_CA, INDEX(trust_data_quality!$A$2:$A$127,_xlfn.AGGREGATE(15,3,(trust_data_quality!$C$2:$C$127=selected_trust_ca_name)/(trust_data_quality!$C$2:$C$127=selected_trust_ca_name)*(ROW(trust_data_quality!$C$2:$C$127)-ROW(trust_data_quality!$C$1)),ROWS($D$61:D61))),"")</f>
        <v>Airedale NHS Foundation Trust</v>
      </c>
      <c r="F62" cm="1">
        <f t="array" ref="F62">IF(ROWS($F$61:F61)&lt;=n_trusts_in_CA, INDEX(trust_data_quality!$E$2:$E$127,_xlfn.AGGREGATE(15,3,(trust_data_quality!$C$2:$C$127=selected_trust_ca_name)/(trust_data_quality!$C$2:$C$127=selected_trust_ca_name)*(ROW(trust_data_quality!$C$2:$C$127)-ROW(trust_data_quality!$C$1)),ROWS($F$61:F61))),"")</f>
        <v>129</v>
      </c>
      <c r="G62" s="114" cm="1">
        <f t="array" ref="G62">IF(ROWS($G$61:G61)&lt;=n_trusts_in_CA, INDEX(trust_data_quality!$R$2:$R$127,_xlfn.AGGREGATE(15,3,(trust_data_quality!$C$2:$C$127=selected_trust_ca_name)/(trust_data_quality!$C$2:$C$127=selected_trust_ca_name)*(ROW(trust_data_quality!$C$2:$C$127)-ROW(trust_data_quality!$C$1)),ROWS($G$61:G61))),"")</f>
        <v>96.899223327636719</v>
      </c>
      <c r="H62" s="82" cm="1">
        <f t="array" ref="H62">IF(ROWS($H$61:H61)&lt;=n_trusts_in_CA, INDEX(trust_data_quality!$S$2:$S$127,_xlfn.AGGREGATE(15,3,(trust_data_quality!$C$2:$C$127=selected_trust_ca_name)/(trust_data_quality!$C$2:$C$127=selected_trust_ca_name)*(ROW(trust_data_quality!$C$2:$C$127)-ROW(trust_data_quality!$C$1)),ROWS($H$61:H61))),"")</f>
        <v>90</v>
      </c>
      <c r="I62" s="4"/>
      <c r="K62" s="118" t="str" cm="1">
        <f t="array" ref="K62">IF(ROWS($K$61:K61)&lt;=n_trusts_in_CA, INDEX(trust_indicator_data!$A$2:$A$127,_xlfn.AGGREGATE(15,3,(trust_indicator_data!$C$2:$C$127=selected_trust_ca_name)/(trust_indicator_data!$C$2:$C$127=selected_trust_ca_name)*(ROW(trust_indicator_data!$C$2:$C$127)-ROW(trust_indicator_data!$C$1)),ROWS($K$61:K61))),"")</f>
        <v>Airedale NHS Foundation Trust</v>
      </c>
      <c r="L62" s="119"/>
      <c r="M62" s="147" cm="1">
        <f t="array" ref="M62">IF(ROWS($M$61:M61)&lt;=n_trusts_in_CA, INDEX(trust_indicator_data!$AG$2:$AG$127,_xlfn.AGGREGATE(15,3,(trust_indicator_data!$C$2:$C$127=selected_trust_ca_name)/(trust_indicator_data!$C$2:$C$127=selected_trust_ca_name)*(ROW(trust_indicator_data!$C$2:$C$127)-ROW(trust_indicator_data!$C$1)),ROWS($M$61:M61))),"")</f>
        <v>129</v>
      </c>
      <c r="N62" s="147"/>
      <c r="O62" s="112" cm="1">
        <f t="array" ref="O62">IF(ROWS($O$61:O61)&lt;=n_trusts_in_CA, INDEX(trust_indicator_data!$AJ$2:$AJ$127,_xlfn.AGGREGATE(15,3,(trust_indicator_data!$C$2:$C$127=selected_trust_ca_name)/(trust_indicator_data!$C$2:$C$127=selected_trust_ca_name)*(ROW(trust_indicator_data!$C$2:$C$127)-ROW(trust_indicator_data!$C$1)),ROWS($O$61:O61))),"")</f>
        <v>46.774192810058594</v>
      </c>
      <c r="P62" s="89" cm="1">
        <f t="array" ref="P62">IF(ROWS($P$61:P61)&lt;=n_trusts_in_CA, INDEX(trust_indicator_data!$AK$2:$AK$127,_xlfn.AGGREGATE(15,3,(trust_indicator_data!$C$2:$C$127=selected_trust_ca_name)/(trust_indicator_data!$C$2:$C$127=selected_trust_ca_name)*(ROW(trust_indicator_data!$C$2:$C$127)-ROW(trust_indicator_data!$C$1)),ROWS($P$61:P61))),"")</f>
        <v>47</v>
      </c>
      <c r="Q62" s="112" t="str" cm="1">
        <f t="array" ref="Q62">IF(ROWS($Q$61:Q61)&lt;=n_trusts_in_CA, INDEX(trust_indicator_data!$AH$2:$AH$127,_xlfn.AGGREGATE(15,3,(trust_indicator_data!$C$2:$C$127=selected_trust_ca_name)/(trust_indicator_data!$C$2:$C$127=selected_trust_ca_name)*(ROW(trust_indicator_data!$C$2:$C$127)-ROW(trust_indicator_data!$C$1)),ROWS($Q$61:Q61))),"")</f>
        <v>NRA*</v>
      </c>
      <c r="R62" s="90" t="str" cm="1">
        <f t="array" ref="R62">IF(ROWS($R$61:R61)&lt;=n_trusts_in_CA, INDEX(trust_indicator_data!$AI$2:$AI$127,_xlfn.AGGREGATE(15,3,(trust_indicator_data!$C$2:$C$127=selected_trust_ca_name)/(trust_indicator_data!$C$2:$C$127=selected_trust_ca_name)*(ROW(trust_indicator_data!$C$2:$C$127)-ROW(trust_indicator_data!$C$1)),ROWS($R$61:R61))),"")</f>
        <v>NRA*</v>
      </c>
    </row>
    <row r="63" spans="3:18" x14ac:dyDescent="0.25">
      <c r="D63" s="81" t="str" cm="1">
        <f t="array" ref="D63">IF(ROWS($D$61:D62)&lt;=n_trusts_in_CA, INDEX(trust_data_quality!$A$2:$A$127,_xlfn.AGGREGATE(15,3,(trust_data_quality!$C$2:$C$127=selected_trust_ca_name)/(trust_data_quality!$C$2:$C$127=selected_trust_ca_name)*(ROW(trust_data_quality!$C$2:$C$127)-ROW(trust_data_quality!$C$1)),ROWS($D$61:D62))),"")</f>
        <v>Bradford Teaching Hospitals NHS Foundation Trust</v>
      </c>
      <c r="F63" cm="1">
        <f t="array" ref="F63">IF(ROWS($F$61:F62)&lt;=n_trusts_in_CA, INDEX(trust_data_quality!$E$2:$E$127,_xlfn.AGGREGATE(15,3,(trust_data_quality!$C$2:$C$127=selected_trust_ca_name)/(trust_data_quality!$C$2:$C$127=selected_trust_ca_name)*(ROW(trust_data_quality!$C$2:$C$127)-ROW(trust_data_quality!$C$1)),ROWS($F$61:F62))),"")</f>
        <v>245</v>
      </c>
      <c r="G63" s="114" cm="1">
        <f t="array" ref="G63">IF(ROWS($G$61:G62)&lt;=n_trusts_in_CA, INDEX(trust_data_quality!$R$2:$R$127,_xlfn.AGGREGATE(15,3,(trust_data_quality!$C$2:$C$127=selected_trust_ca_name)/(trust_data_quality!$C$2:$C$127=selected_trust_ca_name)*(ROW(trust_data_quality!$C$2:$C$127)-ROW(trust_data_quality!$C$1)),ROWS($G$61:G62))),"")</f>
        <v>97.959182739257813</v>
      </c>
      <c r="H63" s="82" cm="1">
        <f t="array" ref="H63">IF(ROWS($H$61:H62)&lt;=n_trusts_in_CA, INDEX(trust_data_quality!$S$2:$S$127,_xlfn.AGGREGATE(15,3,(trust_data_quality!$C$2:$C$127=selected_trust_ca_name)/(trust_data_quality!$C$2:$C$127=selected_trust_ca_name)*(ROW(trust_data_quality!$C$2:$C$127)-ROW(trust_data_quality!$C$1)),ROWS($H$61:H62))),"")</f>
        <v>107</v>
      </c>
      <c r="I63" s="4"/>
      <c r="K63" s="120" t="str" cm="1">
        <f t="array" ref="K63">IF(ROWS($K$61:K62)&lt;=n_trusts_in_CA, INDEX(trust_indicator_data!$A$2:$A$127,_xlfn.AGGREGATE(15,3,(trust_indicator_data!$C$2:$C$127=selected_trust_ca_name)/(trust_indicator_data!$C$2:$C$127=selected_trust_ca_name)*(ROW(trust_indicator_data!$C$2:$C$127)-ROW(trust_indicator_data!$C$1)),ROWS($K$61:K62))),"")</f>
        <v>Bradford Teaching Hospitals NHS Foundation Trust</v>
      </c>
      <c r="L63" s="16"/>
      <c r="M63" s="147" cm="1">
        <f t="array" ref="M63">IF(ROWS($M$61:M62)&lt;=n_trusts_in_CA, INDEX(trust_indicator_data!$AG$2:$AG$127,_xlfn.AGGREGATE(15,3,(trust_indicator_data!$C$2:$C$127=selected_trust_ca_name)/(trust_indicator_data!$C$2:$C$127=selected_trust_ca_name)*(ROW(trust_indicator_data!$C$2:$C$127)-ROW(trust_indicator_data!$C$1)),ROWS($M$61:M62))),"")</f>
        <v>245</v>
      </c>
      <c r="N63" s="147"/>
      <c r="O63" s="112" cm="1">
        <f t="array" ref="O63">IF(ROWS($O$61:O62)&lt;=n_trusts_in_CA, INDEX(trust_indicator_data!$AJ$2:$AJ$127,_xlfn.AGGREGATE(15,3,(trust_indicator_data!$C$2:$C$127=selected_trust_ca_name)/(trust_indicator_data!$C$2:$C$127=selected_trust_ca_name)*(ROW(trust_indicator_data!$C$2:$C$127)-ROW(trust_indicator_data!$C$1)),ROWS($O$61:O62))),"")</f>
        <v>50.643775939941406</v>
      </c>
      <c r="P63" s="89" cm="1">
        <f t="array" ref="P63">IF(ROWS($P$61:P62)&lt;=n_trusts_in_CA, INDEX(trust_indicator_data!$AK$2:$AK$127,_xlfn.AGGREGATE(15,3,(trust_indicator_data!$C$2:$C$127=selected_trust_ca_name)/(trust_indicator_data!$C$2:$C$127=selected_trust_ca_name)*(ROW(trust_indicator_data!$C$2:$C$127)-ROW(trust_indicator_data!$C$1)),ROWS($P$61:P62))),"")</f>
        <v>72</v>
      </c>
      <c r="Q63" s="112" t="str" cm="1">
        <f t="array" ref="Q63">IF(ROWS($Q$61:Q62)&lt;=n_trusts_in_CA, INDEX(trust_indicator_data!$AH$2:$AH$127,_xlfn.AGGREGATE(15,3,(trust_indicator_data!$C$2:$C$127=selected_trust_ca_name)/(trust_indicator_data!$C$2:$C$127=selected_trust_ca_name)*(ROW(trust_indicator_data!$C$2:$C$127)-ROW(trust_indicator_data!$C$1)),ROWS($Q$61:Q62))),"")</f>
        <v>NRA*</v>
      </c>
      <c r="R63" s="90" t="str" cm="1">
        <f t="array" ref="R63">IF(ROWS($R$61:R62)&lt;=n_trusts_in_CA, INDEX(trust_indicator_data!$AI$2:$AI$127,_xlfn.AGGREGATE(15,3,(trust_indicator_data!$C$2:$C$127=selected_trust_ca_name)/(trust_indicator_data!$C$2:$C$127=selected_trust_ca_name)*(ROW(trust_indicator_data!$C$2:$C$127)-ROW(trust_indicator_data!$C$1)),ROWS($R$61:R62))),"")</f>
        <v>NRA*</v>
      </c>
    </row>
    <row r="64" spans="3:18" x14ac:dyDescent="0.25">
      <c r="D64" s="81" t="str" cm="1">
        <f t="array" ref="D64">IF(ROWS($D$61:D63)&lt;=n_trusts_in_CA, INDEX(trust_data_quality!$A$2:$A$127,_xlfn.AGGREGATE(15,3,(trust_data_quality!$C$2:$C$127=selected_trust_ca_name)/(trust_data_quality!$C$2:$C$127=selected_trust_ca_name)*(ROW(trust_data_quality!$C$2:$C$127)-ROW(trust_data_quality!$C$1)),ROWS($D$61:D63))),"")</f>
        <v>Calderdale And Huddersfield NHS Foundation Trust</v>
      </c>
      <c r="F64" cm="1">
        <f t="array" ref="F64">IF(ROWS($F$61:F63)&lt;=n_trusts_in_CA, INDEX(trust_data_quality!$E$2:$E$127,_xlfn.AGGREGATE(15,3,(trust_data_quality!$C$2:$C$127=selected_trust_ca_name)/(trust_data_quality!$C$2:$C$127=selected_trust_ca_name)*(ROW(trust_data_quality!$C$2:$C$127)-ROW(trust_data_quality!$C$1)),ROWS($F$61:F63))),"")</f>
        <v>302</v>
      </c>
      <c r="G64" s="114" cm="1">
        <f t="array" ref="G64">IF(ROWS($G$61:G63)&lt;=n_trusts_in_CA, INDEX(trust_data_quality!$R$2:$R$127,_xlfn.AGGREGATE(15,3,(trust_data_quality!$C$2:$C$127=selected_trust_ca_name)/(trust_data_quality!$C$2:$C$127=selected_trust_ca_name)*(ROW(trust_data_quality!$C$2:$C$127)-ROW(trust_data_quality!$C$1)),ROWS($G$61:G63))),"")</f>
        <v>97.350990295410156</v>
      </c>
      <c r="H64" s="82" cm="1">
        <f t="array" ref="H64">IF(ROWS($H$61:H63)&lt;=n_trusts_in_CA, INDEX(trust_data_quality!$S$2:$S$127,_xlfn.AGGREGATE(15,3,(trust_data_quality!$C$2:$C$127=selected_trust_ca_name)/(trust_data_quality!$C$2:$C$127=selected_trust_ca_name)*(ROW(trust_data_quality!$C$2:$C$127)-ROW(trust_data_quality!$C$1)),ROWS($H$61:H63))),"")</f>
        <v>95</v>
      </c>
      <c r="I64" s="4"/>
      <c r="K64" s="120" t="str" cm="1">
        <f t="array" ref="K64">IF(ROWS($K$61:K63)&lt;=n_trusts_in_CA, INDEX(trust_indicator_data!$A$2:$A$127,_xlfn.AGGREGATE(15,3,(trust_indicator_data!$C$2:$C$127=selected_trust_ca_name)/(trust_indicator_data!$C$2:$C$127=selected_trust_ca_name)*(ROW(trust_indicator_data!$C$2:$C$127)-ROW(trust_indicator_data!$C$1)),ROWS($K$61:K63))),"")</f>
        <v>Calderdale And Huddersfield NHS Foundation Trust</v>
      </c>
      <c r="L64" s="16"/>
      <c r="M64" s="147" cm="1">
        <f t="array" ref="M64">IF(ROWS($M$61:M63)&lt;=n_trusts_in_CA, INDEX(trust_indicator_data!$AG$2:$AG$127,_xlfn.AGGREGATE(15,3,(trust_indicator_data!$C$2:$C$127=selected_trust_ca_name)/(trust_indicator_data!$C$2:$C$127=selected_trust_ca_name)*(ROW(trust_indicator_data!$C$2:$C$127)-ROW(trust_indicator_data!$C$1)),ROWS($M$61:M63))),"")</f>
        <v>302</v>
      </c>
      <c r="N64" s="147"/>
      <c r="O64" s="112" cm="1">
        <f t="array" ref="O64">IF(ROWS($O$61:O63)&lt;=n_trusts_in_CA, INDEX(trust_indicator_data!$AJ$2:$AJ$127,_xlfn.AGGREGATE(15,3,(trust_indicator_data!$C$2:$C$127=selected_trust_ca_name)/(trust_indicator_data!$C$2:$C$127=selected_trust_ca_name)*(ROW(trust_indicator_data!$C$2:$C$127)-ROW(trust_indicator_data!$C$1)),ROWS($O$61:O63))),"")</f>
        <v>51.398601531982422</v>
      </c>
      <c r="P64" s="89" cm="1">
        <f t="array" ref="P64">IF(ROWS($P$61:P63)&lt;=n_trusts_in_CA, INDEX(trust_indicator_data!$AK$2:$AK$127,_xlfn.AGGREGATE(15,3,(trust_indicator_data!$C$2:$C$127=selected_trust_ca_name)/(trust_indicator_data!$C$2:$C$127=selected_trust_ca_name)*(ROW(trust_indicator_data!$C$2:$C$127)-ROW(trust_indicator_data!$C$1)),ROWS($P$61:P63))),"")</f>
        <v>78</v>
      </c>
      <c r="Q64" s="112" t="str" cm="1">
        <f t="array" ref="Q64">IF(ROWS($Q$61:Q63)&lt;=n_trusts_in_CA, INDEX(trust_indicator_data!$AH$2:$AH$127,_xlfn.AGGREGATE(15,3,(trust_indicator_data!$C$2:$C$127=selected_trust_ca_name)/(trust_indicator_data!$C$2:$C$127=selected_trust_ca_name)*(ROW(trust_indicator_data!$C$2:$C$127)-ROW(trust_indicator_data!$C$1)),ROWS($Q$61:Q63))),"")</f>
        <v>NRA*</v>
      </c>
      <c r="R64" s="90" t="str" cm="1">
        <f t="array" ref="R64">IF(ROWS($R$61:R63)&lt;=n_trusts_in_CA, INDEX(trust_indicator_data!$AI$2:$AI$127,_xlfn.AGGREGATE(15,3,(trust_indicator_data!$C$2:$C$127=selected_trust_ca_name)/(trust_indicator_data!$C$2:$C$127=selected_trust_ca_name)*(ROW(trust_indicator_data!$C$2:$C$127)-ROW(trust_indicator_data!$C$1)),ROWS($R$61:R63))),"")</f>
        <v>NRA*</v>
      </c>
    </row>
    <row r="65" spans="3:18" x14ac:dyDescent="0.25">
      <c r="D65" s="81" t="str" cm="1">
        <f t="array" ref="D65">IF(ROWS($D$61:D64)&lt;=n_trusts_in_CA, INDEX(trust_data_quality!$A$2:$A$127,_xlfn.AGGREGATE(15,3,(trust_data_quality!$C$2:$C$127=selected_trust_ca_name)/(trust_data_quality!$C$2:$C$127=selected_trust_ca_name)*(ROW(trust_data_quality!$C$2:$C$127)-ROW(trust_data_quality!$C$1)),ROWS($D$61:D64))),"")</f>
        <v>Leeds Teaching Hospitals NHS Trust</v>
      </c>
      <c r="F65" cm="1">
        <f t="array" ref="F65">IF(ROWS($F$61:F64)&lt;=n_trusts_in_CA, INDEX(trust_data_quality!$E$2:$E$127,_xlfn.AGGREGATE(15,3,(trust_data_quality!$C$2:$C$127=selected_trust_ca_name)/(trust_data_quality!$C$2:$C$127=selected_trust_ca_name)*(ROW(trust_data_quality!$C$2:$C$127)-ROW(trust_data_quality!$C$1)),ROWS($F$61:F64))),"")</f>
        <v>629</v>
      </c>
      <c r="G65" s="114" cm="1">
        <f t="array" ref="G65">IF(ROWS($G$61:G64)&lt;=n_trusts_in_CA, INDEX(trust_data_quality!$R$2:$R$127,_xlfn.AGGREGATE(15,3,(trust_data_quality!$C$2:$C$127=selected_trust_ca_name)/(trust_data_quality!$C$2:$C$127=selected_trust_ca_name)*(ROW(trust_data_quality!$C$2:$C$127)-ROW(trust_data_quality!$C$1)),ROWS($G$61:G64))),"")</f>
        <v>99.523056030273438</v>
      </c>
      <c r="H65" s="82" cm="1">
        <f t="array" ref="H65">IF(ROWS($H$61:H64)&lt;=n_trusts_in_CA, INDEX(trust_data_quality!$S$2:$S$127,_xlfn.AGGREGATE(15,3,(trust_data_quality!$C$2:$C$127=selected_trust_ca_name)/(trust_data_quality!$C$2:$C$127=selected_trust_ca_name)*(ROW(trust_data_quality!$C$2:$C$127)-ROW(trust_data_quality!$C$1)),ROWS($H$61:H64))),"")</f>
        <v>126</v>
      </c>
      <c r="K65" s="120" t="str" cm="1">
        <f t="array" ref="K65">IF(ROWS($K$61:K64)&lt;=n_trusts_in_CA, INDEX(trust_indicator_data!$A$2:$A$127,_xlfn.AGGREGATE(15,3,(trust_indicator_data!$C$2:$C$127=selected_trust_ca_name)/(trust_indicator_data!$C$2:$C$127=selected_trust_ca_name)*(ROW(trust_indicator_data!$C$2:$C$127)-ROW(trust_indicator_data!$C$1)),ROWS($K$61:K64))),"")</f>
        <v>Leeds Teaching Hospitals NHS Trust</v>
      </c>
      <c r="L65" s="16"/>
      <c r="M65" s="147" cm="1">
        <f t="array" ref="M65">IF(ROWS($M$61:M64)&lt;=n_trusts_in_CA, INDEX(trust_indicator_data!$AG$2:$AG$127,_xlfn.AGGREGATE(15,3,(trust_indicator_data!$C$2:$C$127=selected_trust_ca_name)/(trust_indicator_data!$C$2:$C$127=selected_trust_ca_name)*(ROW(trust_indicator_data!$C$2:$C$127)-ROW(trust_indicator_data!$C$1)),ROWS($M$61:M64))),"")</f>
        <v>629</v>
      </c>
      <c r="N65" s="147"/>
      <c r="O65" s="112" cm="1">
        <f t="array" ref="O65">IF(ROWS($O$61:O64)&lt;=n_trusts_in_CA, INDEX(trust_indicator_data!$AJ$2:$AJ$127,_xlfn.AGGREGATE(15,3,(trust_indicator_data!$C$2:$C$127=selected_trust_ca_name)/(trust_indicator_data!$C$2:$C$127=selected_trust_ca_name)*(ROW(trust_indicator_data!$C$2:$C$127)-ROW(trust_indicator_data!$C$1)),ROWS($O$61:O64))),"")</f>
        <v>35.871402740478516</v>
      </c>
      <c r="P65" s="89" cm="1">
        <f t="array" ref="P65">IF(ROWS($P$61:P64)&lt;=n_trusts_in_CA, INDEX(trust_indicator_data!$AK$2:$AK$127,_xlfn.AGGREGATE(15,3,(trust_indicator_data!$C$2:$C$127=selected_trust_ca_name)/(trust_indicator_data!$C$2:$C$127=selected_trust_ca_name)*(ROW(trust_indicator_data!$C$2:$C$127)-ROW(trust_indicator_data!$C$1)),ROWS($P$61:P64))),"")</f>
        <v>9</v>
      </c>
      <c r="Q65" s="112" t="str" cm="1">
        <f t="array" ref="Q65">IF(ROWS($Q$61:Q64)&lt;=n_trusts_in_CA, INDEX(trust_indicator_data!$AH$2:$AH$127,_xlfn.AGGREGATE(15,3,(trust_indicator_data!$C$2:$C$127=selected_trust_ca_name)/(trust_indicator_data!$C$2:$C$127=selected_trust_ca_name)*(ROW(trust_indicator_data!$C$2:$C$127)-ROW(trust_indicator_data!$C$1)),ROWS($Q$61:Q64))),"")</f>
        <v>NRA*</v>
      </c>
      <c r="R65" s="90" t="str" cm="1">
        <f t="array" ref="R65">IF(ROWS($R$61:R64)&lt;=n_trusts_in_CA, INDEX(trust_indicator_data!$AI$2:$AI$127,_xlfn.AGGREGATE(15,3,(trust_indicator_data!$C$2:$C$127=selected_trust_ca_name)/(trust_indicator_data!$C$2:$C$127=selected_trust_ca_name)*(ROW(trust_indicator_data!$C$2:$C$127)-ROW(trust_indicator_data!$C$1)),ROWS($R$61:R64))),"")</f>
        <v>NRA*</v>
      </c>
    </row>
    <row r="66" spans="3:18" x14ac:dyDescent="0.25">
      <c r="D66" s="81" t="str" cm="1">
        <f t="array" ref="D66">IF(ROWS($D$61:D65)&lt;=n_trusts_in_CA, INDEX(trust_data_quality!$A$2:$A$127,_xlfn.AGGREGATE(15,3,(trust_data_quality!$C$2:$C$127=selected_trust_ca_name)/(trust_data_quality!$C$2:$C$127=selected_trust_ca_name)*(ROW(trust_data_quality!$C$2:$C$127)-ROW(trust_data_quality!$C$1)),ROWS($D$61:D65))),"")</f>
        <v>Mid Yorkshire Hospitals NHS Trust</v>
      </c>
      <c r="F66" cm="1">
        <f t="array" ref="F66">IF(ROWS($F$61:F65)&lt;=n_trusts_in_CA, INDEX(trust_data_quality!$E$2:$E$127,_xlfn.AGGREGATE(15,3,(trust_data_quality!$C$2:$C$127=selected_trust_ca_name)/(trust_data_quality!$C$2:$C$127=selected_trust_ca_name)*(ROW(trust_data_quality!$C$2:$C$127)-ROW(trust_data_quality!$C$1)),ROWS($F$61:F65))),"")</f>
        <v>439</v>
      </c>
      <c r="G66" s="114" cm="1">
        <f t="array" ref="G66">IF(ROWS($G$61:G65)&lt;=n_trusts_in_CA, INDEX(trust_data_quality!$R$2:$R$127,_xlfn.AGGREGATE(15,3,(trust_data_quality!$C$2:$C$127=selected_trust_ca_name)/(trust_data_quality!$C$2:$C$127=selected_trust_ca_name)*(ROW(trust_data_quality!$C$2:$C$127)-ROW(trust_data_quality!$C$1)),ROWS($G$61:G65))),"")</f>
        <v>97.038726806640625</v>
      </c>
      <c r="H66" s="82" cm="1">
        <f t="array" ref="H66">IF(ROWS($H$61:H65)&lt;=n_trusts_in_CA, INDEX(trust_data_quality!$S$2:$S$127,_xlfn.AGGREGATE(15,3,(trust_data_quality!$C$2:$C$127=selected_trust_ca_name)/(trust_data_quality!$C$2:$C$127=selected_trust_ca_name)*(ROW(trust_data_quality!$C$2:$C$127)-ROW(trust_data_quality!$C$1)),ROWS($H$61:H65))),"")</f>
        <v>92</v>
      </c>
      <c r="K66" s="120" t="str" cm="1">
        <f t="array" ref="K66">IF(ROWS($K$61:K65)&lt;=n_trusts_in_CA, INDEX(trust_indicator_data!$A$2:$A$127,_xlfn.AGGREGATE(15,3,(trust_indicator_data!$C$2:$C$127=selected_trust_ca_name)/(trust_indicator_data!$C$2:$C$127=selected_trust_ca_name)*(ROW(trust_indicator_data!$C$2:$C$127)-ROW(trust_indicator_data!$C$1)),ROWS($K$61:K65))),"")</f>
        <v>Mid Yorkshire Hospitals NHS Trust</v>
      </c>
      <c r="L66" s="16"/>
      <c r="M66" s="147" cm="1">
        <f t="array" ref="M66">IF(ROWS($M$61:M65)&lt;=n_trusts_in_CA, INDEX(trust_indicator_data!$AG$2:$AG$127,_xlfn.AGGREGATE(15,3,(trust_indicator_data!$C$2:$C$127=selected_trust_ca_name)/(trust_indicator_data!$C$2:$C$127=selected_trust_ca_name)*(ROW(trust_indicator_data!$C$2:$C$127)-ROW(trust_indicator_data!$C$1)),ROWS($M$61:M65))),"")</f>
        <v>439</v>
      </c>
      <c r="N66" s="147"/>
      <c r="O66" s="112" cm="1">
        <f t="array" ref="O66">IF(ROWS($O$61:O65)&lt;=n_trusts_in_CA, INDEX(trust_indicator_data!$AJ$2:$AJ$127,_xlfn.AGGREGATE(15,3,(trust_indicator_data!$C$2:$C$127=selected_trust_ca_name)/(trust_indicator_data!$C$2:$C$127=selected_trust_ca_name)*(ROW(trust_indicator_data!$C$2:$C$127)-ROW(trust_indicator_data!$C$1)),ROWS($O$61:O65))),"")</f>
        <v>50.115474700927734</v>
      </c>
      <c r="P66" s="89" cm="1">
        <f t="array" ref="P66">IF(ROWS($P$61:P65)&lt;=n_trusts_in_CA, INDEX(trust_indicator_data!$AK$2:$AK$127,_xlfn.AGGREGATE(15,3,(trust_indicator_data!$C$2:$C$127=selected_trust_ca_name)/(trust_indicator_data!$C$2:$C$127=selected_trust_ca_name)*(ROW(trust_indicator_data!$C$2:$C$127)-ROW(trust_indicator_data!$C$1)),ROWS($P$61:P65))),"")</f>
        <v>69</v>
      </c>
      <c r="Q66" s="112" t="str" cm="1">
        <f t="array" ref="Q66">IF(ROWS($Q$61:Q65)&lt;=n_trusts_in_CA, INDEX(trust_indicator_data!$AH$2:$AH$127,_xlfn.AGGREGATE(15,3,(trust_indicator_data!$C$2:$C$127=selected_trust_ca_name)/(trust_indicator_data!$C$2:$C$127=selected_trust_ca_name)*(ROW(trust_indicator_data!$C$2:$C$127)-ROW(trust_indicator_data!$C$1)),ROWS($Q$61:Q65))),"")</f>
        <v>NRA*</v>
      </c>
      <c r="R66" s="90" t="str" cm="1">
        <f t="array" ref="R66">IF(ROWS($R$61:R65)&lt;=n_trusts_in_CA, INDEX(trust_indicator_data!$AI$2:$AI$127,_xlfn.AGGREGATE(15,3,(trust_indicator_data!$C$2:$C$127=selected_trust_ca_name)/(trust_indicator_data!$C$2:$C$127=selected_trust_ca_name)*(ROW(trust_indicator_data!$C$2:$C$127)-ROW(trust_indicator_data!$C$1)),ROWS($R$61:R65))),"")</f>
        <v>NRA*</v>
      </c>
    </row>
    <row r="67" spans="3:18" x14ac:dyDescent="0.25">
      <c r="D67" s="81" t="str" cm="1">
        <f t="array" ref="D67">IF(ROWS($D$61:D66)&lt;=n_trusts_in_CA, INDEX(trust_data_quality!$A$2:$A$127,_xlfn.AGGREGATE(15,3,(trust_data_quality!$C$2:$C$127=selected_trust_ca_name)/(trust_data_quality!$C$2:$C$127=selected_trust_ca_name)*(ROW(trust_data_quality!$C$2:$C$127)-ROW(trust_data_quality!$C$1)),ROWS($D$61:D66))),"")</f>
        <v/>
      </c>
      <c r="F67" t="str" cm="1">
        <f t="array" ref="F67">IF(ROWS($F$61:F66)&lt;=n_trusts_in_CA, INDEX(trust_data_quality!$E$2:$E$127,_xlfn.AGGREGATE(15,3,(trust_data_quality!$C$2:$C$127=selected_trust_ca_name)/(trust_data_quality!$C$2:$C$127=selected_trust_ca_name)*(ROW(trust_data_quality!$C$2:$C$127)-ROW(trust_data_quality!$C$1)),ROWS($F$61:F66))),"")</f>
        <v/>
      </c>
      <c r="G67" s="114" t="str" cm="1">
        <f t="array" ref="G67">IF(ROWS($G$61:G66)&lt;=n_trusts_in_CA, INDEX(trust_data_quality!$R$2:$R$127,_xlfn.AGGREGATE(15,3,(trust_data_quality!$C$2:$C$127=selected_trust_ca_name)/(trust_data_quality!$C$2:$C$127=selected_trust_ca_name)*(ROW(trust_data_quality!$C$2:$C$127)-ROW(trust_data_quality!$C$1)),ROWS($G$61:G66))),"")</f>
        <v/>
      </c>
      <c r="H67" s="82" t="str" cm="1">
        <f t="array" ref="H67">IF(ROWS($H$61:H66)&lt;=n_trusts_in_CA, INDEX(trust_data_quality!$S$2:$S$127,_xlfn.AGGREGATE(15,3,(trust_data_quality!$C$2:$C$127=selected_trust_ca_name)/(trust_data_quality!$C$2:$C$127=selected_trust_ca_name)*(ROW(trust_data_quality!$C$2:$C$127)-ROW(trust_data_quality!$C$1)),ROWS($H$61:H66))),"")</f>
        <v/>
      </c>
      <c r="K67" s="120" t="str" cm="1">
        <f t="array" ref="K67">IF(ROWS($K$61:K66)&lt;=n_trusts_in_CA, INDEX(trust_indicator_data!$A$2:$A$127,_xlfn.AGGREGATE(15,3,(trust_indicator_data!$C$2:$C$127=selected_trust_ca_name)/(trust_indicator_data!$C$2:$C$127=selected_trust_ca_name)*(ROW(trust_indicator_data!$C$2:$C$127)-ROW(trust_indicator_data!$C$1)),ROWS($K$61:K66))),"")</f>
        <v/>
      </c>
      <c r="L67" s="16"/>
      <c r="M67" s="147" t="str" cm="1">
        <f t="array" ref="M67">IF(ROWS($M$61:M66)&lt;=n_trusts_in_CA, INDEX(trust_indicator_data!$AG$2:$AG$127,_xlfn.AGGREGATE(15,3,(trust_indicator_data!$C$2:$C$127=selected_trust_ca_name)/(trust_indicator_data!$C$2:$C$127=selected_trust_ca_name)*(ROW(trust_indicator_data!$C$2:$C$127)-ROW(trust_indicator_data!$C$1)),ROWS($M$61:M66))),"")</f>
        <v/>
      </c>
      <c r="N67" s="147"/>
      <c r="O67" s="112" t="str" cm="1">
        <f t="array" ref="O67">IF(ROWS($O$61:O66)&lt;=n_trusts_in_CA, INDEX(trust_indicator_data!$AJ$2:$AJ$127,_xlfn.AGGREGATE(15,3,(trust_indicator_data!$C$2:$C$127=selected_trust_ca_name)/(trust_indicator_data!$C$2:$C$127=selected_trust_ca_name)*(ROW(trust_indicator_data!$C$2:$C$127)-ROW(trust_indicator_data!$C$1)),ROWS($O$61:O66))),"")</f>
        <v/>
      </c>
      <c r="P67" s="89" t="str" cm="1">
        <f t="array" ref="P67">IF(ROWS($P$61:P66)&lt;=n_trusts_in_CA, INDEX(trust_indicator_data!$AK$2:$AK$127,_xlfn.AGGREGATE(15,3,(trust_indicator_data!$C$2:$C$127=selected_trust_ca_name)/(trust_indicator_data!$C$2:$C$127=selected_trust_ca_name)*(ROW(trust_indicator_data!$C$2:$C$127)-ROW(trust_indicator_data!$C$1)),ROWS($P$61:P66))),"")</f>
        <v/>
      </c>
      <c r="Q67" s="112" t="str" cm="1">
        <f t="array" ref="Q67">IF(ROWS($Q$61:Q66)&lt;=n_trusts_in_CA, INDEX(trust_indicator_data!$AH$2:$AH$127,_xlfn.AGGREGATE(15,3,(trust_indicator_data!$C$2:$C$127=selected_trust_ca_name)/(trust_indicator_data!$C$2:$C$127=selected_trust_ca_name)*(ROW(trust_indicator_data!$C$2:$C$127)-ROW(trust_indicator_data!$C$1)),ROWS($Q$61:Q66))),"")</f>
        <v/>
      </c>
      <c r="R67" s="90" t="str" cm="1">
        <f t="array" ref="R67">IF(ROWS($R$61:R66)&lt;=n_trusts_in_CA, INDEX(trust_indicator_data!$AI$2:$AI$127,_xlfn.AGGREGATE(15,3,(trust_indicator_data!$C$2:$C$127=selected_trust_ca_name)/(trust_indicator_data!$C$2:$C$127=selected_trust_ca_name)*(ROW(trust_indicator_data!$C$2:$C$127)-ROW(trust_indicator_data!$C$1)),ROWS($R$61:R66))),"")</f>
        <v/>
      </c>
    </row>
    <row r="68" spans="3:18" x14ac:dyDescent="0.25">
      <c r="D68" s="81" t="str" cm="1">
        <f t="array" ref="D68">IF(ROWS($D$61:D67)&lt;=n_trusts_in_CA, INDEX(trust_data_quality!$A$2:$A$127,_xlfn.AGGREGATE(15,3,(trust_data_quality!$C$2:$C$127=selected_trust_ca_name)/(trust_data_quality!$C$2:$C$127=selected_trust_ca_name)*(ROW(trust_data_quality!$C$2:$C$127)-ROW(trust_data_quality!$C$1)),ROWS($D$61:D67))),"")</f>
        <v/>
      </c>
      <c r="F68" t="str" cm="1">
        <f t="array" ref="F68">IF(ROWS($F$61:F67)&lt;=n_trusts_in_CA, INDEX(trust_data_quality!$E$2:$E$127,_xlfn.AGGREGATE(15,3,(trust_data_quality!$C$2:$C$127=selected_trust_ca_name)/(trust_data_quality!$C$2:$C$127=selected_trust_ca_name)*(ROW(trust_data_quality!$C$2:$C$127)-ROW(trust_data_quality!$C$1)),ROWS($F$61:F67))),"")</f>
        <v/>
      </c>
      <c r="G68" s="114" t="str" cm="1">
        <f t="array" ref="G68">IF(ROWS($G$61:G67)&lt;=n_trusts_in_CA, INDEX(trust_data_quality!$R$2:$R$127,_xlfn.AGGREGATE(15,3,(trust_data_quality!$C$2:$C$127=selected_trust_ca_name)/(trust_data_quality!$C$2:$C$127=selected_trust_ca_name)*(ROW(trust_data_quality!$C$2:$C$127)-ROW(trust_data_quality!$C$1)),ROWS($G$61:G67))),"")</f>
        <v/>
      </c>
      <c r="H68" s="82" t="str" cm="1">
        <f t="array" ref="H68">IF(ROWS($H$61:H67)&lt;=n_trusts_in_CA, INDEX(trust_data_quality!$S$2:$S$127,_xlfn.AGGREGATE(15,3,(trust_data_quality!$C$2:$C$127=selected_trust_ca_name)/(trust_data_quality!$C$2:$C$127=selected_trust_ca_name)*(ROW(trust_data_quality!$C$2:$C$127)-ROW(trust_data_quality!$C$1)),ROWS($H$61:H67))),"")</f>
        <v/>
      </c>
      <c r="K68" s="120" t="str" cm="1">
        <f t="array" ref="K68">IF(ROWS($K$61:K67)&lt;=n_trusts_in_CA, INDEX(trust_indicator_data!$A$2:$A$127,_xlfn.AGGREGATE(15,3,(trust_indicator_data!$C$2:$C$127=selected_trust_ca_name)/(trust_indicator_data!$C$2:$C$127=selected_trust_ca_name)*(ROW(trust_indicator_data!$C$2:$C$127)-ROW(trust_indicator_data!$C$1)),ROWS($K$61:K67))),"")</f>
        <v/>
      </c>
      <c r="L68" s="16"/>
      <c r="M68" s="147" t="str" cm="1">
        <f t="array" ref="M68">IF(ROWS($M$61:M67)&lt;=n_trusts_in_CA, INDEX(trust_indicator_data!$AG$2:$AG$127,_xlfn.AGGREGATE(15,3,(trust_indicator_data!$C$2:$C$127=selected_trust_ca_name)/(trust_indicator_data!$C$2:$C$127=selected_trust_ca_name)*(ROW(trust_indicator_data!$C$2:$C$127)-ROW(trust_indicator_data!$C$1)),ROWS($M$61:M67))),"")</f>
        <v/>
      </c>
      <c r="N68" s="147"/>
      <c r="O68" s="112" t="str" cm="1">
        <f t="array" ref="O68">IF(ROWS($O$61:O67)&lt;=n_trusts_in_CA, INDEX(trust_indicator_data!$AJ$2:$AJ$127,_xlfn.AGGREGATE(15,3,(trust_indicator_data!$C$2:$C$127=selected_trust_ca_name)/(trust_indicator_data!$C$2:$C$127=selected_trust_ca_name)*(ROW(trust_indicator_data!$C$2:$C$127)-ROW(trust_indicator_data!$C$1)),ROWS($O$61:O67))),"")</f>
        <v/>
      </c>
      <c r="P68" s="89" t="str" cm="1">
        <f t="array" ref="P68">IF(ROWS($P$61:P67)&lt;=n_trusts_in_CA, INDEX(trust_indicator_data!$AK$2:$AK$127,_xlfn.AGGREGATE(15,3,(trust_indicator_data!$C$2:$C$127=selected_trust_ca_name)/(trust_indicator_data!$C$2:$C$127=selected_trust_ca_name)*(ROW(trust_indicator_data!$C$2:$C$127)-ROW(trust_indicator_data!$C$1)),ROWS($P$61:P67))),"")</f>
        <v/>
      </c>
      <c r="Q68" s="112" t="str" cm="1">
        <f t="array" ref="Q68">IF(ROWS($Q$61:Q67)&lt;=n_trusts_in_CA, INDEX(trust_indicator_data!$AH$2:$AH$127,_xlfn.AGGREGATE(15,3,(trust_indicator_data!$C$2:$C$127=selected_trust_ca_name)/(trust_indicator_data!$C$2:$C$127=selected_trust_ca_name)*(ROW(trust_indicator_data!$C$2:$C$127)-ROW(trust_indicator_data!$C$1)),ROWS($Q$61:Q67))),"")</f>
        <v/>
      </c>
      <c r="R68" s="90" t="str" cm="1">
        <f t="array" ref="R68">IF(ROWS($R$61:R67)&lt;=n_trusts_in_CA, INDEX(trust_indicator_data!$AI$2:$AI$127,_xlfn.AGGREGATE(15,3,(trust_indicator_data!$C$2:$C$127=selected_trust_ca_name)/(trust_indicator_data!$C$2:$C$127=selected_trust_ca_name)*(ROW(trust_indicator_data!$C$2:$C$127)-ROW(trust_indicator_data!$C$1)),ROWS($R$61:R67))),"")</f>
        <v/>
      </c>
    </row>
    <row r="69" spans="3:18" x14ac:dyDescent="0.25">
      <c r="D69" s="81" t="str" cm="1">
        <f t="array" ref="D69">IF(ROWS($D$61:D68)&lt;=n_trusts_in_CA, INDEX(trust_data_quality!$A$2:$A$127,_xlfn.AGGREGATE(15,3,(trust_data_quality!$C$2:$C$127=selected_trust_ca_name)/(trust_data_quality!$C$2:$C$127=selected_trust_ca_name)*(ROW(trust_data_quality!$C$2:$C$127)-ROW(trust_data_quality!$C$1)),ROWS($D$61:D68))),"")</f>
        <v/>
      </c>
      <c r="F69" t="str" cm="1">
        <f t="array" ref="F69">IF(ROWS($F$61:F68)&lt;=n_trusts_in_CA, INDEX(trust_data_quality!$E$2:$E$127,_xlfn.AGGREGATE(15,3,(trust_data_quality!$C$2:$C$127=selected_trust_ca_name)/(trust_data_quality!$C$2:$C$127=selected_trust_ca_name)*(ROW(trust_data_quality!$C$2:$C$127)-ROW(trust_data_quality!$C$1)),ROWS($F$61:F68))),"")</f>
        <v/>
      </c>
      <c r="G69" s="114" t="str" cm="1">
        <f t="array" ref="G69">IF(ROWS($G$61:G68)&lt;=n_trusts_in_CA, INDEX(trust_data_quality!$R$2:$R$127,_xlfn.AGGREGATE(15,3,(trust_data_quality!$C$2:$C$127=selected_trust_ca_name)/(trust_data_quality!$C$2:$C$127=selected_trust_ca_name)*(ROW(trust_data_quality!$C$2:$C$127)-ROW(trust_data_quality!$C$1)),ROWS($G$61:G68))),"")</f>
        <v/>
      </c>
      <c r="H69" s="82" t="str" cm="1">
        <f t="array" ref="H69">IF(ROWS($H$61:H68)&lt;=n_trusts_in_CA, INDEX(trust_data_quality!$S$2:$S$127,_xlfn.AGGREGATE(15,3,(trust_data_quality!$C$2:$C$127=selected_trust_ca_name)/(trust_data_quality!$C$2:$C$127=selected_trust_ca_name)*(ROW(trust_data_quality!$C$2:$C$127)-ROW(trust_data_quality!$C$1)),ROWS($H$61:H68))),"")</f>
        <v/>
      </c>
      <c r="K69" s="120" t="str" cm="1">
        <f t="array" ref="K69">IF(ROWS($K$61:K68)&lt;=n_trusts_in_CA, INDEX(trust_indicator_data!$A$2:$A$127,_xlfn.AGGREGATE(15,3,(trust_indicator_data!$C$2:$C$127=selected_trust_ca_name)/(trust_indicator_data!$C$2:$C$127=selected_trust_ca_name)*(ROW(trust_indicator_data!$C$2:$C$127)-ROW(trust_indicator_data!$C$1)),ROWS($K$61:K68))),"")</f>
        <v/>
      </c>
      <c r="L69" s="16"/>
      <c r="M69" s="147" t="str" cm="1">
        <f t="array" ref="M69">IF(ROWS($M$61:M68)&lt;=n_trusts_in_CA, INDEX(trust_indicator_data!$AG$2:$AG$127,_xlfn.AGGREGATE(15,3,(trust_indicator_data!$C$2:$C$127=selected_trust_ca_name)/(trust_indicator_data!$C$2:$C$127=selected_trust_ca_name)*(ROW(trust_indicator_data!$C$2:$C$127)-ROW(trust_indicator_data!$C$1)),ROWS($M$61:M68))),"")</f>
        <v/>
      </c>
      <c r="N69" s="147"/>
      <c r="O69" s="112" t="str" cm="1">
        <f t="array" ref="O69">IF(ROWS($O$61:O68)&lt;=n_trusts_in_CA, INDEX(trust_indicator_data!$AJ$2:$AJ$127,_xlfn.AGGREGATE(15,3,(trust_indicator_data!$C$2:$C$127=selected_trust_ca_name)/(trust_indicator_data!$C$2:$C$127=selected_trust_ca_name)*(ROW(trust_indicator_data!$C$2:$C$127)-ROW(trust_indicator_data!$C$1)),ROWS($O$61:O68))),"")</f>
        <v/>
      </c>
      <c r="P69" s="89" t="str" cm="1">
        <f t="array" ref="P69">IF(ROWS($P$61:P68)&lt;=n_trusts_in_CA, INDEX(trust_indicator_data!$AK$2:$AK$127,_xlfn.AGGREGATE(15,3,(trust_indicator_data!$C$2:$C$127=selected_trust_ca_name)/(trust_indicator_data!$C$2:$C$127=selected_trust_ca_name)*(ROW(trust_indicator_data!$C$2:$C$127)-ROW(trust_indicator_data!$C$1)),ROWS($P$61:P68))),"")</f>
        <v/>
      </c>
      <c r="Q69" s="112" t="str" cm="1">
        <f t="array" ref="Q69">IF(ROWS($Q$61:Q68)&lt;=n_trusts_in_CA, INDEX(trust_indicator_data!$AH$2:$AH$127,_xlfn.AGGREGATE(15,3,(trust_indicator_data!$C$2:$C$127=selected_trust_ca_name)/(trust_indicator_data!$C$2:$C$127=selected_trust_ca_name)*(ROW(trust_indicator_data!$C$2:$C$127)-ROW(trust_indicator_data!$C$1)),ROWS($Q$61:Q68))),"")</f>
        <v/>
      </c>
      <c r="R69" s="90" t="str" cm="1">
        <f t="array" ref="R69">IF(ROWS($R$61:R68)&lt;=n_trusts_in_CA, INDEX(trust_indicator_data!$AI$2:$AI$127,_xlfn.AGGREGATE(15,3,(trust_indicator_data!$C$2:$C$127=selected_trust_ca_name)/(trust_indicator_data!$C$2:$C$127=selected_trust_ca_name)*(ROW(trust_indicator_data!$C$2:$C$127)-ROW(trust_indicator_data!$C$1)),ROWS($R$61:R68))),"")</f>
        <v/>
      </c>
    </row>
    <row r="70" spans="3:18" x14ac:dyDescent="0.25">
      <c r="D70" s="81" t="str" cm="1">
        <f t="array" ref="D70">IF(ROWS($D$61:D69)&lt;=n_trusts_in_CA, INDEX(trust_data_quality!$A$2:$A$127,_xlfn.AGGREGATE(15,3,(trust_data_quality!$C$2:$C$127=selected_trust_ca_name)/(trust_data_quality!$C$2:$C$127=selected_trust_ca_name)*(ROW(trust_data_quality!$C$2:$C$127)-ROW(trust_data_quality!$C$1)),ROWS($D$61:D69))),"")</f>
        <v/>
      </c>
      <c r="F70" t="str" cm="1">
        <f t="array" ref="F70">IF(ROWS($F$61:F69)&lt;=n_trusts_in_CA, INDEX(trust_data_quality!$E$2:$E$127,_xlfn.AGGREGATE(15,3,(trust_data_quality!$C$2:$C$127=selected_trust_ca_name)/(trust_data_quality!$C$2:$C$127=selected_trust_ca_name)*(ROW(trust_data_quality!$C$2:$C$127)-ROW(trust_data_quality!$C$1)),ROWS($F$61:F69))),"")</f>
        <v/>
      </c>
      <c r="G70" s="114" t="str" cm="1">
        <f t="array" ref="G70">IF(ROWS($G$61:G69)&lt;=n_trusts_in_CA, INDEX(trust_data_quality!$R$2:$R$127,_xlfn.AGGREGATE(15,3,(trust_data_quality!$C$2:$C$127=selected_trust_ca_name)/(trust_data_quality!$C$2:$C$127=selected_trust_ca_name)*(ROW(trust_data_quality!$C$2:$C$127)-ROW(trust_data_quality!$C$1)),ROWS($G$61:G69))),"")</f>
        <v/>
      </c>
      <c r="H70" s="82" t="str" cm="1">
        <f t="array" ref="H70">IF(ROWS($H$61:H69)&lt;=n_trusts_in_CA, INDEX(trust_data_quality!$S$2:$S$127,_xlfn.AGGREGATE(15,3,(trust_data_quality!$C$2:$C$127=selected_trust_ca_name)/(trust_data_quality!$C$2:$C$127=selected_trust_ca_name)*(ROW(trust_data_quality!$C$2:$C$127)-ROW(trust_data_quality!$C$1)),ROWS($H$61:H69))),"")</f>
        <v/>
      </c>
      <c r="K70" s="120" t="str" cm="1">
        <f t="array" ref="K70">IF(ROWS($K$61:K69)&lt;=n_trusts_in_CA, INDEX(trust_indicator_data!$A$2:$A$127,_xlfn.AGGREGATE(15,3,(trust_indicator_data!$C$2:$C$127=selected_trust_ca_name)/(trust_indicator_data!$C$2:$C$127=selected_trust_ca_name)*(ROW(trust_indicator_data!$C$2:$C$127)-ROW(trust_indicator_data!$C$1)),ROWS($K$61:K69))),"")</f>
        <v/>
      </c>
      <c r="L70" s="16"/>
      <c r="M70" s="147" t="str" cm="1">
        <f t="array" ref="M70">IF(ROWS($M$61:M69)&lt;=n_trusts_in_CA, INDEX(trust_indicator_data!$AG$2:$AG$127,_xlfn.AGGREGATE(15,3,(trust_indicator_data!$C$2:$C$127=selected_trust_ca_name)/(trust_indicator_data!$C$2:$C$127=selected_trust_ca_name)*(ROW(trust_indicator_data!$C$2:$C$127)-ROW(trust_indicator_data!$C$1)),ROWS($M$61:M69))),"")</f>
        <v/>
      </c>
      <c r="N70" s="147"/>
      <c r="O70" s="112" t="str" cm="1">
        <f t="array" ref="O70">IF(ROWS($O$61:O69)&lt;=n_trusts_in_CA, INDEX(trust_indicator_data!$AJ$2:$AJ$127,_xlfn.AGGREGATE(15,3,(trust_indicator_data!$C$2:$C$127=selected_trust_ca_name)/(trust_indicator_data!$C$2:$C$127=selected_trust_ca_name)*(ROW(trust_indicator_data!$C$2:$C$127)-ROW(trust_indicator_data!$C$1)),ROWS($O$61:O69))),"")</f>
        <v/>
      </c>
      <c r="P70" s="89" t="str" cm="1">
        <f t="array" ref="P70">IF(ROWS($P$61:P69)&lt;=n_trusts_in_CA, INDEX(trust_indicator_data!$AK$2:$AK$127,_xlfn.AGGREGATE(15,3,(trust_indicator_data!$C$2:$C$127=selected_trust_ca_name)/(trust_indicator_data!$C$2:$C$127=selected_trust_ca_name)*(ROW(trust_indicator_data!$C$2:$C$127)-ROW(trust_indicator_data!$C$1)),ROWS($P$61:P69))),"")</f>
        <v/>
      </c>
      <c r="Q70" s="112" t="str" cm="1">
        <f t="array" ref="Q70">IF(ROWS($Q$61:Q69)&lt;=n_trusts_in_CA, INDEX(trust_indicator_data!$AH$2:$AH$127,_xlfn.AGGREGATE(15,3,(trust_indicator_data!$C$2:$C$127=selected_trust_ca_name)/(trust_indicator_data!$C$2:$C$127=selected_trust_ca_name)*(ROW(trust_indicator_data!$C$2:$C$127)-ROW(trust_indicator_data!$C$1)),ROWS($Q$61:Q69))),"")</f>
        <v/>
      </c>
      <c r="R70" s="90" t="str" cm="1">
        <f t="array" ref="R70">IF(ROWS($R$61:R69)&lt;=n_trusts_in_CA, INDEX(trust_indicator_data!$AI$2:$AI$127,_xlfn.AGGREGATE(15,3,(trust_indicator_data!$C$2:$C$127=selected_trust_ca_name)/(trust_indicator_data!$C$2:$C$127=selected_trust_ca_name)*(ROW(trust_indicator_data!$C$2:$C$127)-ROW(trust_indicator_data!$C$1)),ROWS($R$61:R69))),"")</f>
        <v/>
      </c>
    </row>
    <row r="71" spans="3:18" x14ac:dyDescent="0.25">
      <c r="D71" s="81" t="str" cm="1">
        <f t="array" ref="D71">IF(ROWS($D$61:D70)&lt;=n_trusts_in_CA, INDEX(trust_data_quality!$A$2:$A$127,_xlfn.AGGREGATE(15,3,(trust_data_quality!$C$2:$C$127=selected_trust_ca_name)/(trust_data_quality!$C$2:$C$127=selected_trust_ca_name)*(ROW(trust_data_quality!$C$2:$C$127)-ROW(trust_data_quality!$C$1)),ROWS($D$61:D70))),"")</f>
        <v/>
      </c>
      <c r="F71" t="str" cm="1">
        <f t="array" ref="F71">IF(ROWS($F$61:F70)&lt;=n_trusts_in_CA, INDEX(trust_data_quality!$E$2:$E$127,_xlfn.AGGREGATE(15,3,(trust_data_quality!$C$2:$C$127=selected_trust_ca_name)/(trust_data_quality!$C$2:$C$127=selected_trust_ca_name)*(ROW(trust_data_quality!$C$2:$C$127)-ROW(trust_data_quality!$C$1)),ROWS($F$61:F70))),"")</f>
        <v/>
      </c>
      <c r="G71" s="114" t="str" cm="1">
        <f t="array" ref="G71">IF(ROWS($G$61:G70)&lt;=n_trusts_in_CA, INDEX(trust_data_quality!$R$2:$R$127,_xlfn.AGGREGATE(15,3,(trust_data_quality!$C$2:$C$127=selected_trust_ca_name)/(trust_data_quality!$C$2:$C$127=selected_trust_ca_name)*(ROW(trust_data_quality!$C$2:$C$127)-ROW(trust_data_quality!$C$1)),ROWS($G$61:G70))),"")</f>
        <v/>
      </c>
      <c r="H71" s="82" t="str" cm="1">
        <f t="array" ref="H71">IF(ROWS($H$61:H70)&lt;=n_trusts_in_CA, INDEX(trust_data_quality!$S$2:$S$127,_xlfn.AGGREGATE(15,3,(trust_data_quality!$C$2:$C$127=selected_trust_ca_name)/(trust_data_quality!$C$2:$C$127=selected_trust_ca_name)*(ROW(trust_data_quality!$C$2:$C$127)-ROW(trust_data_quality!$C$1)),ROWS($H$61:H70))),"")</f>
        <v/>
      </c>
      <c r="K71" s="120" t="str" cm="1">
        <f t="array" ref="K71">IF(ROWS($K$61:K70)&lt;=n_trusts_in_CA, INDEX(trust_indicator_data!$A$2:$A$127,_xlfn.AGGREGATE(15,3,(trust_indicator_data!$C$2:$C$127=selected_trust_ca_name)/(trust_indicator_data!$C$2:$C$127=selected_trust_ca_name)*(ROW(trust_indicator_data!$C$2:$C$127)-ROW(trust_indicator_data!$C$1)),ROWS($K$61:K70))),"")</f>
        <v/>
      </c>
      <c r="L71" s="16"/>
      <c r="M71" s="147" t="str" cm="1">
        <f t="array" ref="M71">IF(ROWS($M$61:M70)&lt;=n_trusts_in_CA, INDEX(trust_indicator_data!$AG$2:$AG$127,_xlfn.AGGREGATE(15,3,(trust_indicator_data!$C$2:$C$127=selected_trust_ca_name)/(trust_indicator_data!$C$2:$C$127=selected_trust_ca_name)*(ROW(trust_indicator_data!$C$2:$C$127)-ROW(trust_indicator_data!$C$1)),ROWS($M$61:M70))),"")</f>
        <v/>
      </c>
      <c r="N71" s="147"/>
      <c r="O71" s="112" t="str" cm="1">
        <f t="array" ref="O71">IF(ROWS($O$61:O70)&lt;=n_trusts_in_CA, INDEX(trust_indicator_data!$AJ$2:$AJ$127,_xlfn.AGGREGATE(15,3,(trust_indicator_data!$C$2:$C$127=selected_trust_ca_name)/(trust_indicator_data!$C$2:$C$127=selected_trust_ca_name)*(ROW(trust_indicator_data!$C$2:$C$127)-ROW(trust_indicator_data!$C$1)),ROWS($O$61:O70))),"")</f>
        <v/>
      </c>
      <c r="P71" s="89" t="str" cm="1">
        <f t="array" ref="P71">IF(ROWS($P$61:P70)&lt;=n_trusts_in_CA, INDEX(trust_indicator_data!$AK$2:$AK$127,_xlfn.AGGREGATE(15,3,(trust_indicator_data!$C$2:$C$127=selected_trust_ca_name)/(trust_indicator_data!$C$2:$C$127=selected_trust_ca_name)*(ROW(trust_indicator_data!$C$2:$C$127)-ROW(trust_indicator_data!$C$1)),ROWS($P$61:P70))),"")</f>
        <v/>
      </c>
      <c r="Q71" s="112" t="str" cm="1">
        <f t="array" ref="Q71">IF(ROWS($Q$61:Q70)&lt;=n_trusts_in_CA, INDEX(trust_indicator_data!$AH$2:$AH$127,_xlfn.AGGREGATE(15,3,(trust_indicator_data!$C$2:$C$127=selected_trust_ca_name)/(trust_indicator_data!$C$2:$C$127=selected_trust_ca_name)*(ROW(trust_indicator_data!$C$2:$C$127)-ROW(trust_indicator_data!$C$1)),ROWS($Q$61:Q70))),"")</f>
        <v/>
      </c>
      <c r="R71" s="90" t="str" cm="1">
        <f t="array" ref="R71">IF(ROWS($R$61:R70)&lt;=n_trusts_in_CA, INDEX(trust_indicator_data!$AI$2:$AI$127,_xlfn.AGGREGATE(15,3,(trust_indicator_data!$C$2:$C$127=selected_trust_ca_name)/(trust_indicator_data!$C$2:$C$127=selected_trust_ca_name)*(ROW(trust_indicator_data!$C$2:$C$127)-ROW(trust_indicator_data!$C$1)),ROWS($R$61:R70))),"")</f>
        <v/>
      </c>
    </row>
    <row r="72" spans="3:18" x14ac:dyDescent="0.25">
      <c r="D72" s="81" t="str" cm="1">
        <f t="array" ref="D72">IF(ROWS($D$61:D71)&lt;=n_trusts_in_CA, INDEX(trust_data_quality!$A$2:$A$127,_xlfn.AGGREGATE(15,3,(trust_data_quality!$C$2:$C$127=selected_trust_ca_name)/(trust_data_quality!$C$2:$C$127=selected_trust_ca_name)*(ROW(trust_data_quality!$C$2:$C$127)-ROW(trust_data_quality!$C$1)),ROWS($D$61:D71))),"")</f>
        <v/>
      </c>
      <c r="F72" t="str" cm="1">
        <f t="array" ref="F72">IF(ROWS($F$61:F71)&lt;=n_trusts_in_CA, INDEX(trust_data_quality!$E$2:$E$127,_xlfn.AGGREGATE(15,3,(trust_data_quality!$C$2:$C$127=selected_trust_ca_name)/(trust_data_quality!$C$2:$C$127=selected_trust_ca_name)*(ROW(trust_data_quality!$C$2:$C$127)-ROW(trust_data_quality!$C$1)),ROWS($F$61:F71))),"")</f>
        <v/>
      </c>
      <c r="G72" s="114" t="str" cm="1">
        <f t="array" ref="G72">IF(ROWS($G$61:G71)&lt;=n_trusts_in_CA, INDEX(trust_data_quality!$R$2:$R$127,_xlfn.AGGREGATE(15,3,(trust_data_quality!$C$2:$C$127=selected_trust_ca_name)/(trust_data_quality!$C$2:$C$127=selected_trust_ca_name)*(ROW(trust_data_quality!$C$2:$C$127)-ROW(trust_data_quality!$C$1)),ROWS($G$61:G71))),"")</f>
        <v/>
      </c>
      <c r="H72" s="82" t="str" cm="1">
        <f t="array" ref="H72">IF(ROWS($H$61:H71)&lt;=n_trusts_in_CA, INDEX(trust_data_quality!$S$2:$S$127,_xlfn.AGGREGATE(15,3,(trust_data_quality!$C$2:$C$127=selected_trust_ca_name)/(trust_data_quality!$C$2:$C$127=selected_trust_ca_name)*(ROW(trust_data_quality!$C$2:$C$127)-ROW(trust_data_quality!$C$1)),ROWS($H$61:H71))),"")</f>
        <v/>
      </c>
      <c r="K72" s="120" t="str" cm="1">
        <f t="array" ref="K72">IF(ROWS($K$61:K71)&lt;=n_trusts_in_CA, INDEX(trust_indicator_data!$A$2:$A$127,_xlfn.AGGREGATE(15,3,(trust_indicator_data!$C$2:$C$127=selected_trust_ca_name)/(trust_indicator_data!$C$2:$C$127=selected_trust_ca_name)*(ROW(trust_indicator_data!$C$2:$C$127)-ROW(trust_indicator_data!$C$1)),ROWS($K$61:K71))),"")</f>
        <v/>
      </c>
      <c r="L72" s="16"/>
      <c r="M72" s="147" t="str" cm="1">
        <f t="array" ref="M72">IF(ROWS($M$61:M71)&lt;=n_trusts_in_CA, INDEX(trust_indicator_data!$AG$2:$AG$127,_xlfn.AGGREGATE(15,3,(trust_indicator_data!$C$2:$C$127=selected_trust_ca_name)/(trust_indicator_data!$C$2:$C$127=selected_trust_ca_name)*(ROW(trust_indicator_data!$C$2:$C$127)-ROW(trust_indicator_data!$C$1)),ROWS($M$61:M71))),"")</f>
        <v/>
      </c>
      <c r="N72" s="147"/>
      <c r="O72" s="112" t="str" cm="1">
        <f t="array" ref="O72">IF(ROWS($O$61:O71)&lt;=n_trusts_in_CA, INDEX(trust_indicator_data!$AJ$2:$AJ$127,_xlfn.AGGREGATE(15,3,(trust_indicator_data!$C$2:$C$127=selected_trust_ca_name)/(trust_indicator_data!$C$2:$C$127=selected_trust_ca_name)*(ROW(trust_indicator_data!$C$2:$C$127)-ROW(trust_indicator_data!$C$1)),ROWS($O$61:O71))),"")</f>
        <v/>
      </c>
      <c r="P72" s="89" t="str" cm="1">
        <f t="array" ref="P72">IF(ROWS($P$61:P71)&lt;=n_trusts_in_CA, INDEX(trust_indicator_data!$AK$2:$AK$127,_xlfn.AGGREGATE(15,3,(trust_indicator_data!$C$2:$C$127=selected_trust_ca_name)/(trust_indicator_data!$C$2:$C$127=selected_trust_ca_name)*(ROW(trust_indicator_data!$C$2:$C$127)-ROW(trust_indicator_data!$C$1)),ROWS($P$61:P71))),"")</f>
        <v/>
      </c>
      <c r="Q72" s="112" t="str" cm="1">
        <f t="array" ref="Q72">IF(ROWS($Q$61:Q71)&lt;=n_trusts_in_CA, INDEX(trust_indicator_data!$AH$2:$AH$127,_xlfn.AGGREGATE(15,3,(trust_indicator_data!$C$2:$C$127=selected_trust_ca_name)/(trust_indicator_data!$C$2:$C$127=selected_trust_ca_name)*(ROW(trust_indicator_data!$C$2:$C$127)-ROW(trust_indicator_data!$C$1)),ROWS($Q$61:Q71))),"")</f>
        <v/>
      </c>
      <c r="R72" s="90" t="str" cm="1">
        <f t="array" ref="R72">IF(ROWS($R$61:R71)&lt;=n_trusts_in_CA, INDEX(trust_indicator_data!$AI$2:$AI$127,_xlfn.AGGREGATE(15,3,(trust_indicator_data!$C$2:$C$127=selected_trust_ca_name)/(trust_indicator_data!$C$2:$C$127=selected_trust_ca_name)*(ROW(trust_indicator_data!$C$2:$C$127)-ROW(trust_indicator_data!$C$1)),ROWS($R$61:R71))),"")</f>
        <v/>
      </c>
    </row>
    <row r="73" spans="3:18" x14ac:dyDescent="0.25">
      <c r="D73" s="83" t="str" cm="1">
        <f t="array" ref="D73">IF(ROWS($D$61:D72)&lt;=n_trusts_in_CA, INDEX(trust_data_quality!$A$2:$A$127,_xlfn.AGGREGATE(15,3,(trust_data_quality!$C$2:$C$127=selected_trust_ca_name)/(trust_data_quality!$C$2:$C$127=selected_trust_ca_name)*(ROW(trust_data_quality!$C$2:$C$127)-ROW(trust_data_quality!$C$1)),ROWS($D$61:D72))),"")</f>
        <v/>
      </c>
      <c r="E73" s="8"/>
      <c r="F73" s="8" t="str" cm="1">
        <f t="array" ref="F73">IF(ROWS($F$61:F72)&lt;=n_trusts_in_CA, INDEX(trust_data_quality!$E$2:$E$127,_xlfn.AGGREGATE(15,3,(trust_data_quality!$C$2:$C$127=selected_trust_ca_name)/(trust_data_quality!$C$2:$C$127=selected_trust_ca_name)*(ROW(trust_data_quality!$C$2:$C$127)-ROW(trust_data_quality!$C$1)),ROWS($F$61:F72))),"")</f>
        <v/>
      </c>
      <c r="G73" s="115" t="str" cm="1">
        <f t="array" ref="G73">IF(ROWS($G$61:G72)&lt;=n_trusts_in_CA, INDEX(trust_data_quality!$R$2:$R$127,_xlfn.AGGREGATE(15,3,(trust_data_quality!$C$2:$C$127=selected_trust_ca_name)/(trust_data_quality!$C$2:$C$127=selected_trust_ca_name)*(ROW(trust_data_quality!$C$2:$C$127)-ROW(trust_data_quality!$C$1)),ROWS($G$61:G72))),"")</f>
        <v/>
      </c>
      <c r="H73" s="84" t="str" cm="1">
        <f t="array" ref="H73">IF(ROWS($H$61:H72)&lt;=n_trusts_in_CA, INDEX(trust_data_quality!$S$2:$S$127,_xlfn.AGGREGATE(15,3,(trust_data_quality!$C$2:$C$127=selected_trust_ca_name)/(trust_data_quality!$C$2:$C$127=selected_trust_ca_name)*(ROW(trust_data_quality!$C$2:$C$127)-ROW(trust_data_quality!$C$1)),ROWS($H$61:H72))),"")</f>
        <v/>
      </c>
      <c r="K73" s="121" t="str" cm="1">
        <f t="array" ref="K73">IF(ROWS($K$61:K72)&lt;=n_trusts_in_CA, INDEX(trust_indicator_data!$A$2:$A$127,_xlfn.AGGREGATE(15,3,(trust_indicator_data!$C$2:$C$127=selected_trust_ca_name)/(trust_indicator_data!$C$2:$C$127=selected_trust_ca_name)*(ROW(trust_indicator_data!$C$2:$C$127)-ROW(trust_indicator_data!$C$1)),ROWS($K$61:K72))),"")</f>
        <v/>
      </c>
      <c r="L73" s="122"/>
      <c r="M73" s="163" t="str" cm="1">
        <f t="array" ref="M73">IF(ROWS($M$61:M72)&lt;=n_trusts_in_CA, INDEX(trust_indicator_data!$AG$2:$AG$127,_xlfn.AGGREGATE(15,3,(trust_indicator_data!$C$2:$C$127=selected_trust_ca_name)/(trust_indicator_data!$C$2:$C$127=selected_trust_ca_name)*(ROW(trust_indicator_data!$C$2:$C$127)-ROW(trust_indicator_data!$C$1)),ROWS($M$61:M72))),"")</f>
        <v/>
      </c>
      <c r="N73" s="163"/>
      <c r="O73" s="116" t="str" cm="1">
        <f t="array" ref="O73">IF(ROWS($O$61:O72)&lt;=n_trusts_in_CA, INDEX(trust_indicator_data!$AJ$2:$AJ$127,_xlfn.AGGREGATE(15,3,(trust_indicator_data!$C$2:$C$127=selected_trust_ca_name)/(trust_indicator_data!$C$2:$C$127=selected_trust_ca_name)*(ROW(trust_indicator_data!$C$2:$C$127)-ROW(trust_indicator_data!$C$1)),ROWS($O$61:O72))),"")</f>
        <v/>
      </c>
      <c r="P73" s="92" t="str" cm="1">
        <f t="array" ref="P73">IF(ROWS($P$61:P72)&lt;=n_trusts_in_CA, INDEX(trust_indicator_data!$AK$2:$AK$127,_xlfn.AGGREGATE(15,3,(trust_indicator_data!$C$2:$C$127=selected_trust_ca_name)/(trust_indicator_data!$C$2:$C$127=selected_trust_ca_name)*(ROW(trust_indicator_data!$C$2:$C$127)-ROW(trust_indicator_data!$C$1)),ROWS($P$61:P72))),"")</f>
        <v/>
      </c>
      <c r="Q73" s="116" t="str" cm="1">
        <f t="array" ref="Q73">IF(ROWS($Q$61:Q72)&lt;=n_trusts_in_CA, INDEX(trust_indicator_data!$AH$2:$AH$127,_xlfn.AGGREGATE(15,3,(trust_indicator_data!$C$2:$C$127=selected_trust_ca_name)/(trust_indicator_data!$C$2:$C$127=selected_trust_ca_name)*(ROW(trust_indicator_data!$C$2:$C$127)-ROW(trust_indicator_data!$C$1)),ROWS($Q$61:Q72))),"")</f>
        <v/>
      </c>
      <c r="R73" s="93" t="str" cm="1">
        <f t="array" ref="R73">IF(ROWS($R$61:R72)&lt;=n_trusts_in_CA, INDEX(trust_indicator_data!$AI$2:$AI$127,_xlfn.AGGREGATE(15,3,(trust_indicator_data!$C$2:$C$127=selected_trust_ca_name)/(trust_indicator_data!$C$2:$C$127=selected_trust_ca_name)*(ROW(trust_indicator_data!$C$2:$C$127)-ROW(trust_indicator_data!$C$1)),ROWS($R$61:R72))),"")</f>
        <v/>
      </c>
    </row>
    <row r="75" spans="3:18" x14ac:dyDescent="0.25">
      <c r="C75" s="146" t="s">
        <v>615</v>
      </c>
      <c r="D75" s="146"/>
      <c r="E75" s="146"/>
      <c r="F75" s="146"/>
      <c r="G75" s="146"/>
      <c r="H75" s="146"/>
      <c r="I75" s="2"/>
      <c r="J75" s="146" t="s">
        <v>616</v>
      </c>
      <c r="K75" s="146"/>
      <c r="L75" s="146"/>
      <c r="M75" s="146"/>
      <c r="N75" s="146"/>
      <c r="O75" s="146"/>
    </row>
    <row r="76" spans="3:18" x14ac:dyDescent="0.25">
      <c r="C76" s="146"/>
      <c r="D76" s="146"/>
      <c r="E76" s="146"/>
      <c r="F76" s="146"/>
      <c r="G76" s="146"/>
      <c r="H76" s="146"/>
      <c r="I76" s="2"/>
      <c r="J76" s="146"/>
      <c r="K76" s="146"/>
      <c r="L76" s="146"/>
      <c r="M76" s="146"/>
      <c r="N76" s="146"/>
      <c r="O76" s="146"/>
    </row>
    <row r="77" spans="3:18" x14ac:dyDescent="0.25">
      <c r="I77" s="2"/>
      <c r="J77" t="s">
        <v>385</v>
      </c>
    </row>
    <row r="78" spans="3:18" ht="15" customHeight="1" x14ac:dyDescent="0.25">
      <c r="D78" s="142" t="s">
        <v>496</v>
      </c>
      <c r="E78" s="77" t="s">
        <v>498</v>
      </c>
      <c r="F78" s="77" t="s">
        <v>499</v>
      </c>
      <c r="G78" s="85" t="s">
        <v>497</v>
      </c>
      <c r="K78" s="142" t="s">
        <v>496</v>
      </c>
      <c r="L78" s="77" t="s">
        <v>498</v>
      </c>
      <c r="M78" s="158" t="s">
        <v>499</v>
      </c>
      <c r="N78" s="158"/>
      <c r="O78" s="85" t="s">
        <v>497</v>
      </c>
    </row>
    <row r="79" spans="3:18" ht="30" x14ac:dyDescent="0.25">
      <c r="D79" s="143"/>
      <c r="E79" s="78" t="s">
        <v>599</v>
      </c>
      <c r="F79" s="78" t="s">
        <v>599</v>
      </c>
      <c r="G79" s="101" t="s">
        <v>599</v>
      </c>
      <c r="K79" s="143"/>
      <c r="L79" s="78" t="s">
        <v>599</v>
      </c>
      <c r="M79" s="164" t="s">
        <v>599</v>
      </c>
      <c r="N79" s="164"/>
      <c r="O79" s="101" t="s">
        <v>599</v>
      </c>
    </row>
    <row r="80" spans="3:18" x14ac:dyDescent="0.25">
      <c r="D80" s="94" t="s">
        <v>479</v>
      </c>
      <c r="G80" s="82"/>
      <c r="K80" s="94" t="s">
        <v>495</v>
      </c>
      <c r="M80" s="49"/>
      <c r="N80" s="49"/>
      <c r="O80" s="100"/>
    </row>
    <row r="81" spans="4:15" x14ac:dyDescent="0.25">
      <c r="D81" s="95" t="s">
        <v>471</v>
      </c>
      <c r="E81" s="49" t="str">
        <f>TEXT(INDEX(trust_patient_char!$A$2:$BF$127,MATCH(selected_trust,trust_patient_char!$B$2:$B$127,0),MATCH("never",trust_patient_char!$A$1:$BF$1,0)),"#,###")&amp;" ("&amp;ROUND(INDEX(trust_patient_char!$A$2:$BF$127,MATCH(selected_trust,trust_patient_char!$B$2:$B$127,0),MATCH("p_never",trust_patient_char!$A$1:$BF$1,0)),1)&amp;")"</f>
        <v>5 (5.2)</v>
      </c>
      <c r="F81" s="49" t="str">
        <f>TEXT(INDEX(aliance_patient_chars!$A$2:$BF$22,MATCH(selected_trust_ca_name,aliance_patient_chars!$B$2:$B$22,0),MATCH("never",aliance_patient_chars!$A$1:$BF$1,0)),"#,###")&amp;" ("&amp;ROUND(INDEX(aliance_patient_chars!$A$2:$BF$22,MATCH(selected_trust_ca_name,aliance_patient_chars!$B$2:$B$22,0),MATCH("p_never",aliance_patient_chars!$A$1:$BF$1,0)),1)&amp;")"</f>
        <v>53 (6.9)</v>
      </c>
      <c r="G81" s="96" t="str">
        <f>TEXT(INDEX(national_patient_chars!$A$2:$BF$2,1,MATCH("never",national_patient_chars!$A$1:$BF$1,0)),"#,###")&amp;" ("&amp;ROUND(INDEX(national_patient_chars!$A$2:$BF$2,1,MATCH("p_never",national_patient_chars!$A$1:$BF$1,0)),1)&amp;")"</f>
        <v>1,476 (8.7)</v>
      </c>
      <c r="K81" s="95" t="s">
        <v>484</v>
      </c>
      <c r="L81" s="49" t="str">
        <f>TEXT(INDEX(trust_patient_char!$A$2:$BF$127,MATCH(selected_trust,trust_patient_char!$B$2:$B$127,0),MATCH("nsclc",trust_patient_char!$A$1:$BF$1,0)),"#,###")&amp;" ("&amp;ROUND(INDEX(trust_patient_char!$A$2:$BF$127,MATCH(selected_trust,trust_patient_char!$B$2:$B$127,0),MATCH("p_nsclc",trust_patient_char!$A$1:$BF$1,0)),1)&amp;")"</f>
        <v>112 (86.8)</v>
      </c>
      <c r="M81" s="49" t="str">
        <f>TEXT(INDEX(aliance_patient_chars!$A$2:$BF$22,MATCH(selected_trust_ca_name,aliance_patient_chars!$B$2:$B$22,0),MATCH("nsclc",aliance_patient_chars!$A$1:$BF$1,0)),"#,###")&amp;" ("&amp;ROUND(INDEX(aliance_patient_chars!$A$2:$BF$22,MATCH(selected_trust_ca_name,aliance_patient_chars!$B$2:$B$22,0),MATCH("p_nsclc",aliance_patient_chars!$A$1:$BF$1,0)),1)&amp;")"</f>
        <v>1,557 (83)</v>
      </c>
      <c r="N81" s="49"/>
      <c r="O81" s="100" t="str">
        <f>TEXT(INDEX(national_patient_chars!$A$2:$BF$2,1,MATCH("nsclc",national_patient_chars!$A$1:$BF$1,0)),"#,###")&amp;" ("&amp;ROUND(INDEX(national_patient_chars!$A$2:$BF$2,1,MATCH("p_nsclc",national_patient_chars!$A$1:$BF$1,0)),1)&amp;")"</f>
        <v>19,345 (56.1)</v>
      </c>
    </row>
    <row r="82" spans="4:15" x14ac:dyDescent="0.25">
      <c r="D82" s="95" t="s">
        <v>472</v>
      </c>
      <c r="E82" s="49" t="str">
        <f>TEXT(INDEX(trust_patient_char!$A$2:$BF$127,MATCH(selected_trust,trust_patient_char!$B$2:$B$127,0),MATCH("current_ex",trust_patient_char!$A$1:$BF$1,0)),"#,###")&amp;" ("&amp;ROUND(INDEX(trust_patient_char!$A$2:$BF$127,MATCH(selected_trust,trust_patient_char!$B$2:$B$127,0),MATCH("p_current_ex",trust_patient_char!$A$1:$BF$1,0)),1)&amp;")"</f>
        <v>91 (94.8)</v>
      </c>
      <c r="F82" s="49" t="str">
        <f>TEXT(INDEX(aliance_patient_chars!$A$2:$BF$22,MATCH(selected_trust_ca_name,aliance_patient_chars!$B$2:$B$22,0),MATCH("current_ex",aliance_patient_chars!$A$1:$BF$1,0)),"#,###")&amp;" ("&amp;ROUND(INDEX(aliance_patient_chars!$A$2:$BF$22,MATCH(selected_trust_ca_name,aliance_patient_chars!$B$2:$B$22,0),MATCH("p_current_ex",aliance_patient_chars!$A$1:$BF$1,0)),1)&amp;")"</f>
        <v>716 (93.1)</v>
      </c>
      <c r="G82" s="97" t="str">
        <f>TEXT(INDEX(national_patient_chars!$A$2:$BF$2,1,MATCH("current_ex",national_patient_chars!$A$1:$BF$1,0)),"#,###")&amp;" ("&amp;ROUND(INDEX(national_patient_chars!$A$2:$BF$2,1,MATCH("p_current_ex",national_patient_chars!$A$1:$BF$1,0)),1)&amp;")"</f>
        <v>15,529 (91.3)</v>
      </c>
      <c r="K82" s="95" t="s">
        <v>485</v>
      </c>
      <c r="L82" s="49" t="str">
        <f>TEXT(INDEX(trust_patient_char!$A$2:$BF$127,MATCH(selected_trust,trust_patient_char!$B$2:$B$127,0),MATCH("sclc",trust_patient_char!$A$1:$BF$1,0)),"#,###")&amp;" ("&amp;ROUND(INDEX(trust_patient_char!$A$2:$BF$127,MATCH(selected_trust,trust_patient_char!$B$2:$B$127,0),MATCH("p_sclc",trust_patient_char!$A$1:$BF$1,0)),1)&amp;")"</f>
        <v>11 (8.5)</v>
      </c>
      <c r="M82" s="49" t="str">
        <f>TEXT(INDEX(aliance_patient_chars!$A$2:$BF$22,MATCH(selected_trust_ca_name,aliance_patient_chars!$B$2:$B$22,0),MATCH("sclc",aliance_patient_chars!$A$1:$BF$1,0)),"#,###")&amp;" ("&amp;ROUND(INDEX(aliance_patient_chars!$A$2:$BF$22,MATCH(selected_trust_ca_name,aliance_patient_chars!$B$2:$B$22,0),MATCH("p_sclc",aliance_patient_chars!$A$1:$BF$1,0)),1)&amp;")"</f>
        <v>164 (8.7)</v>
      </c>
      <c r="N82" s="49"/>
      <c r="O82" s="100" t="str">
        <f>TEXT(INDEX(national_patient_chars!$A$2:$BF$2,1,MATCH("sclc",national_patient_chars!$A$1:$BF$1,0)),"#,###")&amp;" ("&amp;ROUND(INDEX(national_patient_chars!$A$2:$BF$2,1,MATCH("p_sclc",national_patient_chars!$A$1:$BF$1,0)),1)&amp;")"</f>
        <v>2,541 (7.4)</v>
      </c>
    </row>
    <row r="83" spans="4:15" x14ac:dyDescent="0.25">
      <c r="D83" s="98" t="s">
        <v>473</v>
      </c>
      <c r="E83" s="61" t="str">
        <f>TEXT(INDEX(trust_patient_char!$A$2:$BF$127,MATCH(selected_trust,trust_patient_char!$B$2:$B$127,0),MATCH("smok_unknown",trust_patient_char!$A$1:$BF$1,0)),"#,###")</f>
        <v>33</v>
      </c>
      <c r="F83" s="61" t="str">
        <f>TEXT(INDEX(aliance_patient_chars!$A$2:$BF$22,MATCH(selected_trust_ca_name,aliance_patient_chars!$B$2:$B$22,0),MATCH("smok_unknown",aliance_patient_chars!$A$1:$BF$1,0)),"#,###")</f>
        <v>1,107</v>
      </c>
      <c r="G83" s="99" t="str">
        <f>TEXT(INDEX(national_patient_chars!$A$2:$BF$2,1,MATCH("smok_unknown",national_patient_chars!$A$1:$BF$1,0)),"#,###")</f>
        <v>17,473</v>
      </c>
      <c r="K83" s="95" t="s">
        <v>486</v>
      </c>
      <c r="L83" s="49" t="str">
        <f>TEXT(INDEX(trust_patient_char!$A$2:$BF$127,MATCH(selected_trust,trust_patient_char!$B$2:$B$127,0),MATCH("carcinoid",trust_patient_char!$A$1:$BF$1,0)),"#,###")&amp;" ("&amp;ROUND(INDEX(trust_patient_char!$A$2:$BF$127,MATCH(selected_trust,trust_patient_char!$B$2:$B$127,0),MATCH("p_carc",trust_patient_char!$A$1:$BF$1,0)),1)&amp;")"</f>
        <v>2 (1.6)</v>
      </c>
      <c r="M83" s="49" t="str">
        <f>TEXT(INDEX(aliance_patient_chars!$A$2:$BF$22,MATCH(selected_trust_ca_name,aliance_patient_chars!$B$2:$B$22,0),MATCH("carcinoid",aliance_patient_chars!$A$1:$BF$1,0)),"#,###")&amp;" ("&amp;ROUND(INDEX(aliance_patient_chars!$A$2:$BF$22,MATCH(selected_trust_ca_name,aliance_patient_chars!$B$2:$B$22,0),MATCH("p_carc",aliance_patient_chars!$A$1:$BF$1,0)),1)&amp;")"</f>
        <v>17 (0.9)</v>
      </c>
      <c r="N83" s="49"/>
      <c r="O83" s="100" t="str">
        <f>TEXT(INDEX(national_patient_chars!$A$2:$BF$2,1,MATCH("carcinoid",national_patient_chars!$A$1:$BF$1,0)),"#,###")&amp;" ("&amp;ROUND(INDEX(national_patient_chars!$A$2:$BF$2,1,MATCH("p_carc",national_patient_chars!$A$1:$BF$1,0)),1)&amp;")"</f>
        <v>466 (1.4)</v>
      </c>
    </row>
    <row r="84" spans="4:15" x14ac:dyDescent="0.25">
      <c r="D84" s="94" t="s">
        <v>480</v>
      </c>
      <c r="E84" s="49"/>
      <c r="F84" s="49"/>
      <c r="G84" s="100"/>
      <c r="K84" s="98" t="s">
        <v>487</v>
      </c>
      <c r="L84" s="61" t="str">
        <f>TEXT(INDEX(trust_patient_char!$A$2:$BF$127,MATCH(selected_trust,trust_patient_char!$B$2:$B$127,0),MATCH("not_assessed",trust_patient_char!$A$1:$BF$1,0)),"#,###")&amp;" ("&amp;ROUND(INDEX(trust_patient_char!$A$2:$BF$127,MATCH(selected_trust,trust_patient_char!$B$2:$B$127,0),MATCH("p_unknown",trust_patient_char!$A$1:$BF$1,0)),1)&amp;")"</f>
        <v>4 (3.1)</v>
      </c>
      <c r="M84" s="61" t="str">
        <f>TEXT(INDEX(aliance_patient_chars!$A$2:$BF$22,MATCH(selected_trust_ca_name,aliance_patient_chars!$B$2:$B$22,0),MATCH("not_assessed",aliance_patient_chars!$A$1:$BF$1,0)),"#,###")&amp;" ("&amp;ROUND(INDEX(aliance_patient_chars!$A$2:$BF$22,MATCH(selected_trust_ca_name,aliance_patient_chars!$B$2:$B$22,0),MATCH("p_unknown",aliance_patient_chars!$A$1:$BF$1,0)),1)&amp;")"</f>
        <v>138 (7.4)</v>
      </c>
      <c r="N84" s="61"/>
      <c r="O84" s="99" t="str">
        <f>TEXT(INDEX(national_patient_chars!$A$2:$BF$2,1,MATCH("not_assessed",national_patient_chars!$A$1:$BF$1,0)),"#,###")&amp;" ("&amp;ROUND(INDEX(national_patient_chars!$A$2:$BF$2,1,MATCH("p_unknown",national_patient_chars!$A$1:$BF$1,0)),1)&amp;")"</f>
        <v>12,126 (35.2)</v>
      </c>
    </row>
    <row r="85" spans="4:15" x14ac:dyDescent="0.25">
      <c r="D85" s="95" t="s">
        <v>474</v>
      </c>
      <c r="E85" s="49" t="str">
        <f>TEXT(INDEX(trust_patient_char!$A$2:$BF$127,MATCH(selected_trust,trust_patient_char!$B$2:$B$127,0),MATCH("white",trust_patient_char!$A$1:$BF$1,0)),"#,###")&amp;" ("&amp;ROUND(INDEX(trust_patient_char!$A$2:$BF$127,MATCH(selected_trust,trust_patient_char!$B$2:$B$127,0),MATCH("p_white",trust_patient_char!$A$1:$BF$1,0)),1)&amp;")"</f>
        <v>112 (88.9)</v>
      </c>
      <c r="F85" s="49" t="str">
        <f>TEXT(INDEX(aliance_patient_chars!$A$2:$BF$22,MATCH(selected_trust_ca_name,aliance_patient_chars!$B$2:$B$22,0),MATCH("white",aliance_patient_chars!$A$1:$BF$1,0)),"#,###")&amp;" ("&amp;ROUND(INDEX(aliance_patient_chars!$A$2:$BF$22,MATCH(selected_trust_ca_name,aliance_patient_chars!$B$2:$B$22,0),MATCH("p_white",aliance_patient_chars!$A$1:$BF$1,0)),1)&amp;")"</f>
        <v>1,755 (94.6)</v>
      </c>
      <c r="G85" s="100" t="str">
        <f>TEXT(INDEX(national_patient_chars!$A$2:$BF$2,1,MATCH("white",national_patient_chars!$A$1:$BF$1,0)),"#,###")&amp;" ("&amp;ROUND(INDEX(national_patient_chars!$A$2:$BF$2,1,MATCH("p_white",national_patient_chars!$A$1:$BF$1,0)),1)&amp;")"</f>
        <v>29,938 (89.6)</v>
      </c>
      <c r="K85" s="94" t="s">
        <v>494</v>
      </c>
      <c r="L85" s="49"/>
      <c r="M85" s="160"/>
      <c r="N85" s="160"/>
      <c r="O85" s="100"/>
    </row>
    <row r="86" spans="4:15" x14ac:dyDescent="0.25">
      <c r="D86" s="95" t="s">
        <v>475</v>
      </c>
      <c r="E86" s="49" t="str">
        <f>TEXT(INDEX(trust_patient_char!$A$2:$BF$127,MATCH(selected_trust,trust_patient_char!$B$2:$B$127,0),MATCH("mixed",trust_patient_char!$A$1:$BF$1,0)),"#,###")&amp;" ("&amp;ROUND(INDEX(trust_patient_char!$A$2:$BF$127,MATCH(selected_trust,trust_patient_char!$B$2:$B$127,0),MATCH("p_mixed",trust_patient_char!$A$1:$BF$1,0)),1)&amp;")"</f>
        <v>3 (2.4)</v>
      </c>
      <c r="F86" s="49" t="str">
        <f>TEXT(INDEX(aliance_patient_chars!$A$2:$BF$22,MATCH(selected_trust_ca_name,aliance_patient_chars!$B$2:$B$22,0),MATCH("mixed",aliance_patient_chars!$A$1:$BF$1,0)),"#,###")&amp;" ("&amp;ROUND(INDEX(aliance_patient_chars!$A$2:$BF$22,MATCH(selected_trust_ca_name,aliance_patient_chars!$B$2:$B$22,0),MATCH("p_mixed",aliance_patient_chars!$A$1:$BF$1,0)),1)&amp;")"</f>
        <v>23 (1.2)</v>
      </c>
      <c r="G86" s="100" t="str">
        <f>TEXT(INDEX(national_patient_chars!$A$2:$BF$2,1,MATCH("mixed",national_patient_chars!$A$1:$BF$1,0)),"#,###")&amp;" ("&amp;ROUND(INDEX(national_patient_chars!$A$2:$BF$2,1,MATCH("p_mixed",national_patient_chars!$A$1:$BF$1,0)),1)&amp;")"</f>
        <v>801 (2.4)</v>
      </c>
      <c r="K86" s="95" t="s">
        <v>488</v>
      </c>
      <c r="L86" s="49" t="str">
        <f>TEXT(INDEX(trust_patient_char!$A$2:$BF$127,MATCH(selected_trust,trust_patient_char!$B$2:$B$127,0),MATCH("s1",trust_patient_char!$A$1:$BF$1,0)),"#,###")&amp;" ("&amp;ROUND(INDEX(trust_patient_char!$A$2:$BF$127,MATCH(selected_trust,trust_patient_char!$B$2:$B$127,0),MATCH("p_s1",trust_patient_char!$A$1:$BF$1,0)),1)&amp;")"</f>
        <v>25 (20.2)</v>
      </c>
      <c r="M86" s="147" t="str">
        <f>TEXT(INDEX(aliance_patient_chars!$A$2:$BF$22,MATCH(selected_trust_ca_name,aliance_patient_chars!$B$2:$B$22,0),MATCH("s1",aliance_patient_chars!$A$1:$BF$1,0)),"#,###")&amp;" ("&amp;ROUND(INDEX(aliance_patient_chars!$A$2:$BF$22,MATCH(selected_trust_ca_name,aliance_patient_chars!$B$2:$B$22,0),MATCH("p_s1",aliance_patient_chars!$A$1:$BF$1,0)),1)&amp;")"</f>
        <v>432 (24.3)</v>
      </c>
      <c r="N86" s="147"/>
      <c r="O86" s="100" t="str">
        <f>TEXT(INDEX(national_patient_chars!$A$2:$BF$2,1,MATCH("s1",national_patient_chars!$A$1:$BF$1,0)),"#,###")&amp;" ("&amp;ROUND(INDEX(national_patient_chars!$A$2:$BF$2,1,MATCH("p_s1",national_patient_chars!$A$1:$BF$1,0)),1)&amp;")"</f>
        <v>6,756 (22.8)</v>
      </c>
    </row>
    <row r="87" spans="4:15" x14ac:dyDescent="0.25">
      <c r="D87" s="95" t="s">
        <v>476</v>
      </c>
      <c r="E87" s="49" t="str">
        <f>TEXT(INDEX(trust_patient_char!$A$2:$BF$127,MATCH(selected_trust,trust_patient_char!$B$2:$B$127,0),MATCH("asian",trust_patient_char!$A$1:$BF$1,0)),"#,###")&amp;" ("&amp;ROUND(INDEX(trust_patient_char!$A$2:$BF$127,MATCH(selected_trust,trust_patient_char!$B$2:$B$127,0),MATCH("p_asian",trust_patient_char!$A$1:$BF$1,0)),1)&amp;")"</f>
        <v>7 (5.6)</v>
      </c>
      <c r="F87" s="49" t="str">
        <f>TEXT(INDEX(aliance_patient_chars!$A$2:$BF$22,MATCH(selected_trust_ca_name,aliance_patient_chars!$B$2:$B$22,0),MATCH("asian",aliance_patient_chars!$A$1:$BF$1,0)),"#,###")&amp;" ("&amp;ROUND(INDEX(aliance_patient_chars!$A$2:$BF$22,MATCH(selected_trust_ca_name,aliance_patient_chars!$B$2:$B$22,0),MATCH("p_asian",aliance_patient_chars!$A$1:$BF$1,0)),1)&amp;")"</f>
        <v>49 (2.6)</v>
      </c>
      <c r="G87" s="100" t="str">
        <f>TEXT(INDEX(national_patient_chars!$A$2:$BF$2,1,MATCH("asian",national_patient_chars!$A$1:$BF$1,0)),"#,###")&amp;" ("&amp;ROUND(INDEX(national_patient_chars!$A$2:$BF$2,1,MATCH("p_asian",national_patient_chars!$A$1:$BF$1,0)),1)&amp;")"</f>
        <v>1,047 (3.1)</v>
      </c>
      <c r="K87" s="95" t="s">
        <v>489</v>
      </c>
      <c r="L87" s="49" t="str">
        <f>TEXT(INDEX(trust_patient_char!$A$2:$BF$127,MATCH(selected_trust,trust_patient_char!$B$2:$B$127,0),MATCH("s2",trust_patient_char!$A$1:$BF$1,0)),"#,###")&amp;" ("&amp;ROUND(INDEX(trust_patient_char!$A$2:$BF$127,MATCH(selected_trust,trust_patient_char!$B$2:$B$127,0),MATCH("p_s2",trust_patient_char!$A$1:$BF$1,0)),1)&amp;")"</f>
        <v>19 (15.3)</v>
      </c>
      <c r="M87" s="147" t="str">
        <f>TEXT(INDEX(aliance_patient_chars!$A$2:$BF$22,MATCH(selected_trust_ca_name,aliance_patient_chars!$B$2:$B$22,0),MATCH("s2",aliance_patient_chars!$A$1:$BF$1,0)),"#,###")&amp;" ("&amp;ROUND(INDEX(aliance_patient_chars!$A$2:$BF$22,MATCH(selected_trust_ca_name,aliance_patient_chars!$B$2:$B$22,0),MATCH("p_s2",aliance_patient_chars!$A$1:$BF$1,0)),1)&amp;")"</f>
        <v>149 (8.4)</v>
      </c>
      <c r="N87" s="147"/>
      <c r="O87" s="100" t="str">
        <f>TEXT(INDEX(national_patient_chars!$A$2:$BF$2,1,MATCH("s2",national_patient_chars!$A$1:$BF$1,0)),"#,###")&amp;" ("&amp;ROUND(INDEX(national_patient_chars!$A$2:$BF$2,1,MATCH("p_s2",national_patient_chars!$A$1:$BF$1,0)),1)&amp;")"</f>
        <v>2,353 (7.9)</v>
      </c>
    </row>
    <row r="88" spans="4:15" x14ac:dyDescent="0.25">
      <c r="D88" s="95" t="s">
        <v>477</v>
      </c>
      <c r="E88" s="49" t="str">
        <f>TEXT(INDEX(trust_patient_char!$A$2:$BF$127,MATCH(selected_trust,trust_patient_char!$B$2:$B$127,0),MATCH("black",trust_patient_char!$A$1:$BF$1,0)),"#,###")&amp;" ("&amp;ROUND(INDEX(trust_patient_char!$A$2:$BF$127,MATCH(selected_trust,trust_patient_char!$B$2:$B$127,0),MATCH("p_black",trust_patient_char!$A$1:$BF$1,0)),1)&amp;")"</f>
        <v xml:space="preserve"> (0)</v>
      </c>
      <c r="F88" s="49" t="str">
        <f>TEXT(INDEX(aliance_patient_chars!$A$2:$BF$22,MATCH(selected_trust_ca_name,aliance_patient_chars!$B$2:$B$22,0),MATCH("black",aliance_patient_chars!$A$1:$BF$1,0)),"#,###")&amp;" ("&amp;ROUND(INDEX(aliance_patient_chars!$A$2:$BF$22,MATCH(selected_trust_ca_name,aliance_patient_chars!$B$2:$B$22,0),MATCH("p_black",aliance_patient_chars!$A$1:$BF$1,0)),1)&amp;")"</f>
        <v>6 (0.3)</v>
      </c>
      <c r="G88" s="100" t="str">
        <f>TEXT(INDEX(national_patient_chars!$A$2:$BF$2,1,MATCH("black",national_patient_chars!$A$1:$BF$1,0)),"#,###")&amp;" ("&amp;ROUND(INDEX(national_patient_chars!$A$2:$BF$2,1,MATCH("p_black",national_patient_chars!$A$1:$BF$1,0)),1)&amp;")"</f>
        <v>822 (2.5)</v>
      </c>
      <c r="K88" s="95" t="s">
        <v>490</v>
      </c>
      <c r="L88" s="49" t="str">
        <f>TEXT(INDEX(trust_patient_char!$A$2:$BF$127,MATCH(selected_trust,trust_patient_char!$B$2:$B$127,0),MATCH("s3a",trust_patient_char!$A$1:$BF$1,0)),"#,###")&amp;" ("&amp;ROUND(INDEX(trust_patient_char!$A$2:$BF$127,MATCH(selected_trust,trust_patient_char!$B$2:$B$127,0),MATCH("p_s3a",trust_patient_char!$A$1:$BF$1,0)),1)&amp;")"</f>
        <v>15 (12.1)</v>
      </c>
      <c r="M88" s="147" t="str">
        <f>TEXT(INDEX(aliance_patient_chars!$A$2:$BF$22,MATCH(selected_trust_ca_name,aliance_patient_chars!$B$2:$B$22,0),MATCH("s3a",aliance_patient_chars!$A$1:$BF$1,0)),"#,###")&amp;" ("&amp;ROUND(INDEX(aliance_patient_chars!$A$2:$BF$22,MATCH(selected_trust_ca_name,aliance_patient_chars!$B$2:$B$22,0),MATCH("p_s3a",aliance_patient_chars!$A$1:$BF$1,0)),1)&amp;")"</f>
        <v>229 (12.9)</v>
      </c>
      <c r="N88" s="147"/>
      <c r="O88" s="100" t="str">
        <f>TEXT(INDEX(national_patient_chars!$A$2:$BF$2,1,MATCH("s3a",national_patient_chars!$A$1:$BF$1,0)),"#,###")&amp;" ("&amp;ROUND(INDEX(national_patient_chars!$A$2:$BF$2,1,MATCH("p_s3a",national_patient_chars!$A$1:$BF$1,0)),1)&amp;")"</f>
        <v>3,639 (12.3)</v>
      </c>
    </row>
    <row r="89" spans="4:15" x14ac:dyDescent="0.25">
      <c r="D89" s="95" t="s">
        <v>478</v>
      </c>
      <c r="E89" s="49" t="str">
        <f>TEXT(INDEX(trust_patient_char!$A$2:$BF$127,MATCH(selected_trust,trust_patient_char!$B$2:$B$127,0),MATCH("other",trust_patient_char!$A$1:$BF$1,0)),"#,###")&amp;" ("&amp;ROUND(INDEX(trust_patient_char!$A$2:$BF$127,MATCH(selected_trust,trust_patient_char!$B$2:$B$127,0),MATCH("p_other",trust_patient_char!$A$1:$BF$1,0)),1)&amp;")"</f>
        <v>4 (3.2)</v>
      </c>
      <c r="F89" s="49" t="str">
        <f>TEXT(INDEX(aliance_patient_chars!$A$2:$BF$22,MATCH(selected_trust_ca_name,aliance_patient_chars!$B$2:$B$22,0),MATCH("other",aliance_patient_chars!$A$1:$BF$1,0)),"#,###")&amp;" ("&amp;ROUND(INDEX(aliance_patient_chars!$A$2:$BF$22,MATCH(selected_trust_ca_name,aliance_patient_chars!$B$2:$B$22,0),MATCH("p_other",aliance_patient_chars!$A$1:$BF$1,0)),1)&amp;")"</f>
        <v>23 (1.2)</v>
      </c>
      <c r="G89" s="100" t="str">
        <f>TEXT(INDEX(national_patient_chars!$A$2:$BF$2,1,MATCH("other",national_patient_chars!$A$1:$BF$1,0)),"#,###")&amp;" ("&amp;ROUND(INDEX(national_patient_chars!$A$2:$BF$2,1,MATCH("p_other",national_patient_chars!$A$1:$BF$1,0)),1)&amp;")"</f>
        <v>808 (2.4)</v>
      </c>
      <c r="K89" s="95" t="s">
        <v>491</v>
      </c>
      <c r="L89" s="49" t="str">
        <f>TEXT(INDEX(trust_patient_char!$A$2:$BF$127,MATCH(selected_trust,trust_patient_char!$B$2:$B$127,0),MATCH("s3b",trust_patient_char!$A$1:$BF$1,0)),"#,###")&amp;" ("&amp;ROUND(INDEX(trust_patient_char!$A$2:$BF$127,MATCH(selected_trust,trust_patient_char!$B$2:$B$127,0),MATCH("p_s3b",trust_patient_char!$A$1:$BF$1,0)),1)&amp;")"</f>
        <v>7 (5.6)</v>
      </c>
      <c r="M89" s="147" t="str">
        <f>TEXT(INDEX(aliance_patient_chars!$A$2:$BF$22,MATCH(selected_trust_ca_name,aliance_patient_chars!$B$2:$B$22,0),MATCH("s3b",aliance_patient_chars!$A$1:$BF$1,0)),"#,###")&amp;" ("&amp;ROUND(INDEX(aliance_patient_chars!$A$2:$BF$22,MATCH(selected_trust_ca_name,aliance_patient_chars!$B$2:$B$22,0),MATCH("p_s3b",aliance_patient_chars!$A$1:$BF$1,0)),1)&amp;")"</f>
        <v>145 (8.2)</v>
      </c>
      <c r="N89" s="147"/>
      <c r="O89" s="100" t="str">
        <f>TEXT(INDEX(national_patient_chars!$A$2:$BF$2,1,MATCH("s3b",national_patient_chars!$A$1:$BF$1,0)),"#,###")&amp;" ("&amp;ROUND(INDEX(national_patient_chars!$A$2:$BF$2,1,MATCH("p_s3b",national_patient_chars!$A$1:$BF$1,0)),1)&amp;")"</f>
        <v>2,771 (9.3)</v>
      </c>
    </row>
    <row r="90" spans="4:15" x14ac:dyDescent="0.25">
      <c r="D90" s="98" t="s">
        <v>473</v>
      </c>
      <c r="E90" s="61" t="str">
        <f>TEXT(INDEX(trust_patient_char!$A$2:$BF$127,MATCH(selected_trust,trust_patient_char!$B$2:$B$127,0),MATCH("ethc_unknown",trust_patient_char!$A$1:$BF$1,0)),"#,###")</f>
        <v>3</v>
      </c>
      <c r="F90" s="61" t="str">
        <f>TEXT(INDEX(aliance_patient_chars!$A$2:$BF$22,MATCH(selected_trust_ca_name,aliance_patient_chars!$B$2:$B$22,0),MATCH("ethc_unknown",aliance_patient_chars!$A$1:$BF$1,0)),"#,###")</f>
        <v>20</v>
      </c>
      <c r="G90" s="99" t="str">
        <f>TEXT(INDEX(national_patient_chars!$A$2:$BF$2,1,MATCH("ethc_unknown",national_patient_chars!$A$1:$BF$1,0)),"#,###")</f>
        <v>1,062</v>
      </c>
      <c r="K90" s="95" t="s">
        <v>492</v>
      </c>
      <c r="L90" s="49" t="str">
        <f>TEXT(INDEX(trust_patient_char!$A$2:$BF$127,MATCH(selected_trust,trust_patient_char!$B$2:$B$127,0),MATCH("s4",trust_patient_char!$A$1:$BF$1,0)),"#,###")&amp;" ("&amp;ROUND(INDEX(trust_patient_char!$A$2:$BF$127,MATCH(selected_trust,trust_patient_char!$B$2:$B$127,0),MATCH("p_s4",trust_patient_char!$A$1:$BF$1,0)),1)&amp;")"</f>
        <v>58 (46.8)</v>
      </c>
      <c r="M90" s="147" t="str">
        <f>TEXT(INDEX(aliance_patient_chars!$A$2:$BF$22,MATCH(selected_trust_ca_name,aliance_patient_chars!$B$2:$B$22,0),MATCH("s4",aliance_patient_chars!$A$1:$BF$1,0)),"#,###")&amp;" ("&amp;ROUND(INDEX(aliance_patient_chars!$A$2:$BF$22,MATCH(selected_trust_ca_name,aliance_patient_chars!$B$2:$B$22,0),MATCH("p_s4",aliance_patient_chars!$A$1:$BF$1,0)),1)&amp;")"</f>
        <v>820 (46.2)</v>
      </c>
      <c r="N90" s="147"/>
      <c r="O90" s="100" t="str">
        <f>TEXT(INDEX(national_patient_chars!$A$2:$BF$2,1,MATCH("s4",national_patient_chars!$A$1:$BF$1,0)),"#,###")&amp;" ("&amp;ROUND(INDEX(national_patient_chars!$A$2:$BF$2,1,MATCH("p_s4",national_patient_chars!$A$1:$BF$1,0)),1)&amp;")"</f>
        <v>14,140 (47.7)</v>
      </c>
    </row>
    <row r="91" spans="4:15" x14ac:dyDescent="0.25">
      <c r="D91" s="94" t="s">
        <v>481</v>
      </c>
      <c r="E91" s="49"/>
      <c r="F91" s="49"/>
      <c r="G91" s="100"/>
      <c r="K91" s="98" t="s">
        <v>473</v>
      </c>
      <c r="L91" s="61" t="str">
        <f>TEXT(INDEX(trust_patient_char!$A$2:$BF$127,MATCH(selected_trust,trust_patient_char!$B$2:$B$127,0),MATCH("s_unknown",trust_patient_char!$A$1:$BF$1,0)),"#,###")</f>
        <v>5</v>
      </c>
      <c r="M91" s="163" t="str">
        <f>TEXT(INDEX(aliance_patient_chars!$A$2:$BF$22,MATCH(selected_trust_ca_name,aliance_patient_chars!$B$2:$B$22,0),MATCH("s_unknown",aliance_patient_chars!$A$1:$BF$1,0)),"#,###")</f>
        <v>101</v>
      </c>
      <c r="N91" s="163"/>
      <c r="O91" s="99" t="str">
        <f>TEXT(INDEX(national_patient_chars!$A$2:$BF$2,1,MATCH("s_unknown",national_patient_chars!$A$1:$BF$1,0)),"#,###")</f>
        <v>4,819</v>
      </c>
    </row>
    <row r="92" spans="4:15" x14ac:dyDescent="0.25">
      <c r="D92" s="95" t="s">
        <v>482</v>
      </c>
      <c r="E92" s="49" t="str">
        <f>TEXT(INDEX(trust_patient_char!$A$2:$BF$127,MATCH(selected_trust,trust_patient_char!$B$2:$B$127,0),MATCH("imdleast",trust_patient_char!$A$1:$BF$1,0)),"#,###")&amp;" ("&amp;ROUND(INDEX(trust_patient_char!$A$2:$BF$127,MATCH(selected_trust,trust_patient_char!$B$2:$B$127,0),MATCH("p_imdleast",trust_patient_char!$A$1:$BF$1,0)),1)&amp;")"</f>
        <v>24 (18.6)</v>
      </c>
      <c r="F92" s="49" t="str">
        <f>TEXT(INDEX(aliance_patient_chars!$A$2:$BF$22,MATCH(selected_trust_ca_name,aliance_patient_chars!$B$2:$B$22,0),MATCH("imdleast",aliance_patient_chars!$A$1:$BF$1,0)),"#,###")&amp;" ("&amp;ROUND(INDEX(aliance_patient_chars!$A$2:$BF$22,MATCH(selected_trust_ca_name,aliance_patient_chars!$B$2:$B$22,0),MATCH("p_imdleast",aliance_patient_chars!$A$1:$BF$1,0)),1)&amp;")"</f>
        <v>684 (36.5)</v>
      </c>
      <c r="G92" s="100" t="str">
        <f>TEXT(INDEX(national_patient_chars!$A$2:$BF$2,1,MATCH("imdleast",national_patient_chars!$A$1:$BF$1,0)),"#,###")&amp;" ("&amp;ROUND(INDEX(national_patient_chars!$A$2:$BF$2,1,MATCH("p_imdleast",national_patient_chars!$A$1:$BF$1,0)),1)&amp;")"</f>
        <v>9,055 (26.3)</v>
      </c>
      <c r="K92" s="94" t="s">
        <v>493</v>
      </c>
      <c r="L92" s="49"/>
      <c r="M92" s="147"/>
      <c r="N92" s="147"/>
      <c r="O92" s="100"/>
    </row>
    <row r="93" spans="4:15" x14ac:dyDescent="0.25">
      <c r="D93" s="95">
        <v>2</v>
      </c>
      <c r="E93" s="49" t="str">
        <f>TEXT(INDEX(trust_patient_char!$A$2:$BF$127,MATCH(selected_trust,trust_patient_char!$B$2:$B$127,0),MATCH("imd2",trust_patient_char!$A$1:$BF$1,0)),"#,###")&amp;" ("&amp;ROUND(INDEX(trust_patient_char!$A$2:$BF$127,MATCH(selected_trust,trust_patient_char!$B$2:$B$127,0),MATCH("p_imd2",trust_patient_char!$A$1:$BF$1,0)),1)&amp;")"</f>
        <v>19 (14.7)</v>
      </c>
      <c r="F93" s="49" t="str">
        <f>TEXT(INDEX(aliance_patient_chars!$A$2:$BF$22,MATCH(selected_trust_ca_name,aliance_patient_chars!$B$2:$B$22,0),MATCH("imd2",aliance_patient_chars!$A$1:$BF$1,0)),"#,###")&amp;" ("&amp;ROUND(INDEX(aliance_patient_chars!$A$2:$BF$22,MATCH(selected_trust_ca_name,aliance_patient_chars!$B$2:$B$22,0),MATCH("p_imd2",aliance_patient_chars!$A$1:$BF$1,0)),1)&amp;")"</f>
        <v>335 (17.9)</v>
      </c>
      <c r="G93" s="100" t="str">
        <f>TEXT(INDEX(national_patient_chars!$A$2:$BF$2,1,MATCH("imd2",national_patient_chars!$A$1:$BF$1,0)),"#,###")&amp;" ("&amp;ROUND(INDEX(national_patient_chars!$A$2:$BF$2,1,MATCH("p_imd2",national_patient_chars!$A$1:$BF$1,0)),1)&amp;")"</f>
        <v>7,385 (21.4)</v>
      </c>
      <c r="K93" s="95">
        <v>0</v>
      </c>
      <c r="L93" s="49" t="str">
        <f>TEXT(INDEX(trust_patient_char!$A$2:$BF$127,MATCH(selected_trust,trust_patient_char!$B$2:$B$127,0),MATCH("ps0",trust_patient_char!$A$1:$BF$1,0)),"#,###")&amp;" ("&amp;ROUND(INDEX(trust_patient_char!$A$2:$BF$127,MATCH(selected_trust,trust_patient_char!$B$2:$B$127,0),MATCH("p_ps0",trust_patient_char!$A$1:$BF$1,0)),1)&amp;")"</f>
        <v>15 (12.1)</v>
      </c>
      <c r="M93" s="147" t="str">
        <f>TEXT(INDEX(aliance_patient_chars!$A$2:$BF$22,MATCH(selected_trust_ca_name,aliance_patient_chars!$B$2:$B$22,0),MATCH("ps0",aliance_patient_chars!$A$1:$BF$1,0)),"#,###")&amp;" ("&amp;ROUND(INDEX(aliance_patient_chars!$A$2:$BF$22,MATCH(selected_trust_ca_name,aliance_patient_chars!$B$2:$B$22,0),MATCH("p_ps0",aliance_patient_chars!$A$1:$BF$1,0)),1)&amp;")"</f>
        <v>358 (20.6)</v>
      </c>
      <c r="N93" s="147"/>
      <c r="O93" s="100" t="str">
        <f>TEXT(INDEX(national_patient_chars!$A$2:$BF$2,1,MATCH("ps0",national_patient_chars!$A$1:$BF$1,0)),"#,###")&amp;" ("&amp;ROUND(INDEX(national_patient_chars!$A$2:$BF$2,1,MATCH("p_ps0",national_patient_chars!$A$1:$BF$1,0)),1)&amp;")"</f>
        <v>6,083 (21.3)</v>
      </c>
    </row>
    <row r="94" spans="4:15" x14ac:dyDescent="0.25">
      <c r="D94" s="95">
        <v>3</v>
      </c>
      <c r="E94" s="49" t="str">
        <f>TEXT(INDEX(trust_patient_char!$A$2:$BF$127,MATCH(selected_trust,trust_patient_char!$B$2:$B$127,0),MATCH("imd3",trust_patient_char!$A$1:$BF$1,0)),"#,###")&amp;" ("&amp;ROUND(INDEX(trust_patient_char!$A$2:$BF$127,MATCH(selected_trust,trust_patient_char!$B$2:$B$127,0),MATCH("p_imd3",trust_patient_char!$A$1:$BF$1,0)),1)&amp;")"</f>
        <v>37 (28.7)</v>
      </c>
      <c r="F94" s="49" t="str">
        <f>TEXT(INDEX(aliance_patient_chars!$A$2:$BF$22,MATCH(selected_trust_ca_name,aliance_patient_chars!$B$2:$B$22,0),MATCH("imd3",aliance_patient_chars!$A$1:$BF$1,0)),"#,###")&amp;" ("&amp;ROUND(INDEX(aliance_patient_chars!$A$2:$BF$22,MATCH(selected_trust_ca_name,aliance_patient_chars!$B$2:$B$22,0),MATCH("p_imd3",aliance_patient_chars!$A$1:$BF$1,0)),1)&amp;")"</f>
        <v>362 (19.3)</v>
      </c>
      <c r="G94" s="100" t="str">
        <f>TEXT(INDEX(national_patient_chars!$A$2:$BF$2,1,MATCH("imd3",national_patient_chars!$A$1:$BF$1,0)),"#,###")&amp;" ("&amp;ROUND(INDEX(national_patient_chars!$A$2:$BF$2,1,MATCH("p_imd3",national_patient_chars!$A$1:$BF$1,0)),1)&amp;")"</f>
        <v>6,859 (19.9)</v>
      </c>
      <c r="K94" s="95">
        <v>1</v>
      </c>
      <c r="L94" s="49" t="str">
        <f>TEXT(INDEX(trust_patient_char!$A$2:$BF$127,MATCH(selected_trust,trust_patient_char!$B$2:$B$127,0),MATCH("ps1",trust_patient_char!$A$1:$BF$1,0)),"#,###")&amp;" ("&amp;ROUND(INDEX(trust_patient_char!$A$2:$BF$127,MATCH(selected_trust,trust_patient_char!$B$2:$B$127,0),MATCH("p_ps1",trust_patient_char!$A$1:$BF$1,0)),1)&amp;")"</f>
        <v>41 (33.1)</v>
      </c>
      <c r="M94" s="147" t="str">
        <f>TEXT(INDEX(aliance_patient_chars!$A$2:$BF$22,MATCH(selected_trust_ca_name,aliance_patient_chars!$B$2:$B$22,0),MATCH("ps1",aliance_patient_chars!$A$1:$BF$1,0)),"#,###")&amp;" ("&amp;ROUND(INDEX(aliance_patient_chars!$A$2:$BF$22,MATCH(selected_trust_ca_name,aliance_patient_chars!$B$2:$B$22,0),MATCH("p_ps1",aliance_patient_chars!$A$1:$BF$1,0)),1)&amp;")"</f>
        <v>501 (28.9)</v>
      </c>
      <c r="N94" s="147"/>
      <c r="O94" s="100" t="str">
        <f>TEXT(INDEX(national_patient_chars!$A$2:$BF$2,1,MATCH("ps1",national_patient_chars!$A$1:$BF$1,0)),"#,###")&amp;" ("&amp;ROUND(INDEX(national_patient_chars!$A$2:$BF$2,1,MATCH("p_ps1",national_patient_chars!$A$1:$BF$1,0)),1)&amp;")"</f>
        <v>9,188 (32.2)</v>
      </c>
    </row>
    <row r="95" spans="4:15" x14ac:dyDescent="0.25">
      <c r="D95" s="95">
        <v>4</v>
      </c>
      <c r="E95" s="49" t="str">
        <f>TEXT(INDEX(trust_patient_char!$A$2:$BF$127,MATCH(selected_trust,trust_patient_char!$B$2:$B$127,0),MATCH("imd4",trust_patient_char!$A$1:$BF$1,0)),"#,###")&amp;" ("&amp;ROUND(INDEX(trust_patient_char!$A$2:$BF$127,MATCH(selected_trust,trust_patient_char!$B$2:$B$127,0),MATCH("p_imd4",trust_patient_char!$A$1:$BF$1,0)),1)&amp;")"</f>
        <v>23 (17.8)</v>
      </c>
      <c r="F95" s="49" t="str">
        <f>TEXT(INDEX(aliance_patient_chars!$A$2:$BF$22,MATCH(selected_trust_ca_name,aliance_patient_chars!$B$2:$B$22,0),MATCH("imd4",aliance_patient_chars!$A$1:$BF$1,0)),"#,###")&amp;" ("&amp;ROUND(INDEX(aliance_patient_chars!$A$2:$BF$22,MATCH(selected_trust_ca_name,aliance_patient_chars!$B$2:$B$22,0),MATCH("p_imd4",aliance_patient_chars!$A$1:$BF$1,0)),1)&amp;")"</f>
        <v>289 (15.4)</v>
      </c>
      <c r="G95" s="100" t="str">
        <f>TEXT(INDEX(national_patient_chars!$A$2:$BF$2,1,MATCH("imd4",national_patient_chars!$A$1:$BF$1,0)),"#,###")&amp;" ("&amp;ROUND(INDEX(national_patient_chars!$A$2:$BF$2,1,MATCH("p_imd4",national_patient_chars!$A$1:$BF$1,0)),1)&amp;")"</f>
        <v>6,016 (17.4)</v>
      </c>
      <c r="K95" s="95">
        <v>2</v>
      </c>
      <c r="L95" s="49" t="str">
        <f>TEXT(INDEX(trust_patient_char!$A$2:$BF$127,MATCH(selected_trust,trust_patient_char!$B$2:$B$127,0),MATCH("ps2",trust_patient_char!$A$1:$BF$1,0)),"#,###")&amp;" ("&amp;ROUND(INDEX(trust_patient_char!$A$2:$BF$127,MATCH(selected_trust,trust_patient_char!$B$2:$B$127,0),MATCH("p_ps2",trust_patient_char!$A$1:$BF$1,0)),1)&amp;")"</f>
        <v>28 (22.6)</v>
      </c>
      <c r="M95" s="147" t="str">
        <f>TEXT(INDEX(aliance_patient_chars!$A$2:$BF$22,MATCH(selected_trust_ca_name,aliance_patient_chars!$B$2:$B$22,0),MATCH("ps2",aliance_patient_chars!$A$1:$BF$1,0)),"#,###")&amp;" ("&amp;ROUND(INDEX(aliance_patient_chars!$A$2:$BF$22,MATCH(selected_trust_ca_name,aliance_patient_chars!$B$2:$B$22,0),MATCH("p_ps2",aliance_patient_chars!$A$1:$BF$1,0)),1)&amp;")"</f>
        <v>344 (19.8)</v>
      </c>
      <c r="N95" s="147"/>
      <c r="O95" s="100" t="str">
        <f>TEXT(INDEX(national_patient_chars!$A$2:$BF$2,1,MATCH("ps2",national_patient_chars!$A$1:$BF$1,0)),"#,###")&amp;" ("&amp;ROUND(INDEX(national_patient_chars!$A$2:$BF$2,1,MATCH("p_ps2",national_patient_chars!$A$1:$BF$1,0)),1)&amp;")"</f>
        <v>5,626 (19.7)</v>
      </c>
    </row>
    <row r="96" spans="4:15" x14ac:dyDescent="0.25">
      <c r="D96" s="98" t="s">
        <v>483</v>
      </c>
      <c r="E96" s="61" t="str">
        <f>TEXT(INDEX(trust_patient_char!$A$2:$BF$127,MATCH(selected_trust,trust_patient_char!$B$2:$B$127,0),MATCH("imdmost",trust_patient_char!$A$1:$BF$1,0)),"#,###")&amp;" ("&amp;ROUND(INDEX(trust_patient_char!$A$2:$BF$127,MATCH(selected_trust,trust_patient_char!$B$2:$B$127,0),MATCH("p_imdmost",trust_patient_char!$A$1:$BF$1,0)),1)&amp;")"</f>
        <v>26 (20.2)</v>
      </c>
      <c r="F96" s="61" t="str">
        <f>TEXT(INDEX(aliance_patient_chars!$A$2:$BF$22,MATCH(selected_trust_ca_name,aliance_patient_chars!$B$2:$B$22,0),MATCH("imdmost",aliance_patient_chars!$A$1:$BF$1,0)),"#,###")&amp;" ("&amp;ROUND(INDEX(aliance_patient_chars!$A$2:$BF$22,MATCH(selected_trust_ca_name,aliance_patient_chars!$B$2:$B$22,0),MATCH("p_imdmost",aliance_patient_chars!$A$1:$BF$1,0)),1)&amp;")"</f>
        <v>206 (11)</v>
      </c>
      <c r="G96" s="99" t="str">
        <f>TEXT(INDEX(national_patient_chars!$A$2:$BF$2,1,MATCH("imdmost",national_patient_chars!$A$1:$BF$1,0)),"#,###")&amp;" ("&amp;ROUND(INDEX(national_patient_chars!$A$2:$BF$2,1,MATCH("p_imdmost",national_patient_chars!$A$1:$BF$1,0)),1)&amp;")"</f>
        <v>5,163 (15)</v>
      </c>
      <c r="K96" s="95">
        <v>3</v>
      </c>
      <c r="L96" s="49" t="str">
        <f>TEXT(INDEX(trust_patient_char!$A$2:$BF$127,MATCH(selected_trust,trust_patient_char!$B$2:$B$127,0),MATCH("ps3",trust_patient_char!$A$1:$BF$1,0)),"#,###")&amp;" ("&amp;ROUND(INDEX(trust_patient_char!$A$2:$BF$127,MATCH(selected_trust,trust_patient_char!$B$2:$B$127,0),MATCH("p_ps3",trust_patient_char!$A$1:$BF$1,0)),1)&amp;")"</f>
        <v>28 (22.6)</v>
      </c>
      <c r="M96" s="147" t="str">
        <f>TEXT(INDEX(aliance_patient_chars!$A$2:$BF$22,MATCH(selected_trust_ca_name,aliance_patient_chars!$B$2:$B$22,0),MATCH("ps3",aliance_patient_chars!$A$1:$BF$1,0)),"#,###")&amp;" ("&amp;ROUND(INDEX(aliance_patient_chars!$A$2:$BF$22,MATCH(selected_trust_ca_name,aliance_patient_chars!$B$2:$B$22,0),MATCH("p_ps3",aliance_patient_chars!$A$1:$BF$1,0)),1)&amp;")"</f>
        <v>413 (23.8)</v>
      </c>
      <c r="N96" s="147"/>
      <c r="O96" s="100" t="str">
        <f>TEXT(INDEX(national_patient_chars!$A$2:$BF$2,1,MATCH("ps3",national_patient_chars!$A$1:$BF$1,0)),"#,###")&amp;" ("&amp;ROUND(INDEX(national_patient_chars!$A$2:$BF$2,1,MATCH("p_ps3",national_patient_chars!$A$1:$BF$1,0)),1)&amp;")"</f>
        <v>5,835 (20.5)</v>
      </c>
    </row>
    <row r="97" spans="4:17" x14ac:dyDescent="0.25">
      <c r="D97" t="s">
        <v>500</v>
      </c>
      <c r="I97" s="62"/>
      <c r="J97" s="62"/>
      <c r="K97" s="95">
        <v>4</v>
      </c>
      <c r="L97" s="49" t="str">
        <f>TEXT(INDEX(trust_patient_char!$A$2:$BF$127,MATCH(selected_trust,trust_patient_char!$B$2:$B$127,0),MATCH("ps4",trust_patient_char!$A$1:$BF$1,0)),"#,###")&amp;" ("&amp;ROUND(INDEX(trust_patient_char!$A$2:$BF$127,MATCH(selected_trust,trust_patient_char!$B$2:$B$127,0),MATCH("p_ps4",trust_patient_char!$A$1:$BF$1,0)),1)&amp;")"</f>
        <v>12 (9.7)</v>
      </c>
      <c r="M97" s="147" t="str">
        <f>TEXT(INDEX(aliance_patient_chars!$A$2:$BF$22,MATCH(selected_trust_ca_name,aliance_patient_chars!$B$2:$B$22,0),MATCH("ps4",aliance_patient_chars!$A$1:$BF$1,0)),"#,###")&amp;" ("&amp;ROUND(INDEX(aliance_patient_chars!$A$2:$BF$22,MATCH(selected_trust_ca_name,aliance_patient_chars!$B$2:$B$22,0),MATCH("p_ps4",aliance_patient_chars!$A$1:$BF$1,0)),1)&amp;")"</f>
        <v>119 (6.9)</v>
      </c>
      <c r="N97" s="147"/>
      <c r="O97" s="100" t="str">
        <f>TEXT(INDEX(national_patient_chars!$A$2:$BF$2,1,MATCH("ps4",national_patient_chars!$A$1:$BF$1,0)),"#,###")&amp;" ("&amp;ROUND(INDEX(national_patient_chars!$A$2:$BF$2,1,MATCH("p_ps4",national_patient_chars!$A$1:$BF$1,0)),1)&amp;")"</f>
        <v>1,770 (6.2)</v>
      </c>
    </row>
    <row r="98" spans="4:17" x14ac:dyDescent="0.25">
      <c r="I98" s="2"/>
      <c r="K98" s="98" t="s">
        <v>473</v>
      </c>
      <c r="L98" s="61" t="str">
        <f>TEXT(INDEX(trust_patient_char!$A$2:$BF$127,MATCH(selected_trust,trust_patient_char!$B$2:$B$127,0),MATCH("ps_unknown",trust_patient_char!$A$1:$BF$1,0)),"#,###")</f>
        <v>5</v>
      </c>
      <c r="M98" s="163" t="str">
        <f>TEXT(INDEX(aliance_patient_chars!$A$2:$BF$22,MATCH(selected_trust_ca_name,aliance_patient_chars!$B$2:$B$22,0),MATCH("ps_unknown",aliance_patient_chars!$A$1:$BF$1,0)),"#,###")</f>
        <v>141</v>
      </c>
      <c r="N98" s="163"/>
      <c r="O98" s="99" t="str">
        <f>TEXT(INDEX(national_patient_chars!$A$2:$BF$2,1,MATCH("ps_unknown",national_patient_chars!$A$1:$BF$1,0)),"#,###")</f>
        <v>5,976</v>
      </c>
    </row>
    <row r="99" spans="4:17" x14ac:dyDescent="0.25">
      <c r="J99" s="2"/>
      <c r="Q99" s="1"/>
    </row>
  </sheetData>
  <mergeCells count="61">
    <mergeCell ref="M78:N78"/>
    <mergeCell ref="M85:N85"/>
    <mergeCell ref="M86:N86"/>
    <mergeCell ref="M87:N87"/>
    <mergeCell ref="M88:N88"/>
    <mergeCell ref="M79:N79"/>
    <mergeCell ref="M89:N89"/>
    <mergeCell ref="M95:N95"/>
    <mergeCell ref="M96:N96"/>
    <mergeCell ref="M97:N97"/>
    <mergeCell ref="M98:N98"/>
    <mergeCell ref="M90:N90"/>
    <mergeCell ref="M91:N91"/>
    <mergeCell ref="M92:N92"/>
    <mergeCell ref="M93:N93"/>
    <mergeCell ref="M94:N94"/>
    <mergeCell ref="M72:N72"/>
    <mergeCell ref="M73:N73"/>
    <mergeCell ref="F50:F51"/>
    <mergeCell ref="F60:F61"/>
    <mergeCell ref="D60:D61"/>
    <mergeCell ref="M69:N69"/>
    <mergeCell ref="M70:N70"/>
    <mergeCell ref="O24:R25"/>
    <mergeCell ref="M50:N51"/>
    <mergeCell ref="M52:N52"/>
    <mergeCell ref="M53:N53"/>
    <mergeCell ref="M54:N54"/>
    <mergeCell ref="O60:P60"/>
    <mergeCell ref="Q60:R60"/>
    <mergeCell ref="O50:P50"/>
    <mergeCell ref="Q50:R50"/>
    <mergeCell ref="J47:R48"/>
    <mergeCell ref="J57:R58"/>
    <mergeCell ref="M68:N68"/>
    <mergeCell ref="J4:M4"/>
    <mergeCell ref="J24:M25"/>
    <mergeCell ref="M60:N61"/>
    <mergeCell ref="M62:N62"/>
    <mergeCell ref="M63:N63"/>
    <mergeCell ref="J10:M10"/>
    <mergeCell ref="K60:L61"/>
    <mergeCell ref="K19:M20"/>
    <mergeCell ref="K16:M17"/>
    <mergeCell ref="K13:M14"/>
    <mergeCell ref="O10:Q18"/>
    <mergeCell ref="D10:G10"/>
    <mergeCell ref="K52:L52"/>
    <mergeCell ref="K53:L53"/>
    <mergeCell ref="K78:K79"/>
    <mergeCell ref="D78:D79"/>
    <mergeCell ref="C24:G25"/>
    <mergeCell ref="C47:H48"/>
    <mergeCell ref="C57:H58"/>
    <mergeCell ref="C75:H76"/>
    <mergeCell ref="J75:O76"/>
    <mergeCell ref="M71:N71"/>
    <mergeCell ref="M64:N64"/>
    <mergeCell ref="M65:N65"/>
    <mergeCell ref="M66:N66"/>
    <mergeCell ref="M67:N67"/>
  </mergeCells>
  <pageMargins left="0.70866141732283472" right="0.70866141732283472" top="0.74803149606299213" bottom="0.74803149606299213" header="0.31496062992125984" footer="0.31496062992125984"/>
  <pageSetup paperSize="9" scale="40" orientation="landscape" r:id="rId1"/>
  <ignoredErrors>
    <ignoredError sqref="K15 K18" 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itle="Dropdown list of Indicators" prompt="Please select an indicator from this list" xr:uid="{00000000-0002-0000-0200-000001000000}">
          <x14:formula1>
            <xm:f>indicator_list!$A$2:$A$11</xm:f>
          </x14:formula1>
          <xm:sqref>J10</xm:sqref>
        </x14:dataValidation>
        <x14:dataValidation type="list" allowBlank="1" showInputMessage="1" showErrorMessage="1" xr:uid="{00000000-0002-0000-0200-000002000000}">
          <x14:formula1>
            <xm:f>data_quality_list!$A$2:$A$11</xm:f>
          </x14:formula1>
          <xm:sqref>D10</xm:sqref>
        </x14:dataValidation>
        <x14:dataValidation type="list" allowBlank="1" showInputMessage="1" showErrorMessage="1" xr:uid="{BE102F34-FE81-4FF3-BC99-DB2BCB70DE8E}">
          <x14:formula1>
            <xm:f>trust_list!$A$2:$A$127</xm:f>
          </x14:formula1>
          <xm:sqref>J4:M4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autoPageBreaks="0"/>
  </sheetPr>
  <dimension ref="A2:F30"/>
  <sheetViews>
    <sheetView showGridLines="0" topLeftCell="A4" workbookViewId="0">
      <selection activeCell="E17" sqref="E17"/>
    </sheetView>
  </sheetViews>
  <sheetFormatPr defaultRowHeight="15" x14ac:dyDescent="0.25"/>
  <cols>
    <col min="1" max="1" width="10.140625" bestFit="1" customWidth="1"/>
    <col min="2" max="2" width="36" customWidth="1"/>
    <col min="3" max="3" width="28.42578125" bestFit="1" customWidth="1"/>
    <col min="4" max="4" width="29.140625" bestFit="1" customWidth="1"/>
    <col min="5" max="5" width="22.28515625" bestFit="1" customWidth="1"/>
    <col min="6" max="6" width="21.5703125" bestFit="1" customWidth="1"/>
    <col min="7" max="7" width="14.85546875" bestFit="1" customWidth="1"/>
    <col min="8" max="8" width="12.42578125" bestFit="1" customWidth="1"/>
    <col min="9" max="9" width="12.28515625" bestFit="1" customWidth="1"/>
  </cols>
  <sheetData>
    <row r="2" spans="1:6" x14ac:dyDescent="0.25">
      <c r="B2" t="s">
        <v>387</v>
      </c>
    </row>
    <row r="4" spans="1:6" x14ac:dyDescent="0.25">
      <c r="B4" t="s">
        <v>391</v>
      </c>
    </row>
    <row r="6" spans="1:6" x14ac:dyDescent="0.25">
      <c r="A6" t="s">
        <v>394</v>
      </c>
      <c r="B6" s="26" t="s">
        <v>420</v>
      </c>
      <c r="C6" s="26" t="s">
        <v>421</v>
      </c>
      <c r="D6" s="26" t="s">
        <v>422</v>
      </c>
      <c r="E6" s="28" t="s">
        <v>423</v>
      </c>
      <c r="F6" s="29" t="s">
        <v>424</v>
      </c>
    </row>
    <row r="7" spans="1:6" x14ac:dyDescent="0.25">
      <c r="A7" t="s">
        <v>395</v>
      </c>
      <c r="B7" s="24" t="str">
        <f>Dashboard!J10</f>
        <v>Proportion of patients with stage IV disease</v>
      </c>
      <c r="C7" s="24" t="str">
        <f>VLOOKUP(selected_indic_descr,indicator_list!A2:D11,2,FALSE)</f>
        <v>stage4_p</v>
      </c>
      <c r="D7" s="25" t="str">
        <f>INDEX(indicator_list!$A$2:$H$11,MATCH(selected_indic_descr,indicator_list!$A$2:$A$11,0),MATCH(D6,indicator_list!$A$1:$H$1,0))</f>
        <v>stage4_p_adj</v>
      </c>
      <c r="E7" s="25">
        <f>INDEX(indicator_list!$A$2:$H$11,MATCH(selected_indic_descr,indicator_list!$A$2:$A$11,0),MATCH(E6,indicator_list!$A$1:$H$1,0))</f>
        <v>1</v>
      </c>
      <c r="F7" s="24" t="str">
        <f>INDEX(indicator_list!$A$2:$H$11,MATCH(selected_indic_descr,indicator_list!$A$2:$A$11,0),MATCH(F6,indicator_list!$A$1:$H$1,0))</f>
        <v>n</v>
      </c>
    </row>
    <row r="8" spans="1:6" x14ac:dyDescent="0.25">
      <c r="D8" s="2"/>
      <c r="E8" s="2"/>
    </row>
    <row r="9" spans="1:6" x14ac:dyDescent="0.25">
      <c r="B9" t="s">
        <v>390</v>
      </c>
    </row>
    <row r="10" spans="1:6" x14ac:dyDescent="0.25">
      <c r="B10" t="s">
        <v>385</v>
      </c>
      <c r="C10" t="s">
        <v>396</v>
      </c>
    </row>
    <row r="11" spans="1:6" x14ac:dyDescent="0.25">
      <c r="A11" t="s">
        <v>394</v>
      </c>
      <c r="B11" s="26" t="s">
        <v>425</v>
      </c>
      <c r="C11" s="26" t="s">
        <v>426</v>
      </c>
      <c r="D11" s="27" t="s">
        <v>427</v>
      </c>
      <c r="E11" s="26" t="s">
        <v>428</v>
      </c>
      <c r="F11" s="26" t="s">
        <v>389</v>
      </c>
    </row>
    <row r="12" spans="1:6" x14ac:dyDescent="0.25">
      <c r="A12" t="s">
        <v>395</v>
      </c>
      <c r="B12" s="24" t="str">
        <f>Dashboard!J4</f>
        <v>Airedale NHS Foundation Trust</v>
      </c>
      <c r="C12" s="24" t="str">
        <f>VLOOKUP(selected_trust,trust_list!A2:D127,2)</f>
        <v>RCF</v>
      </c>
      <c r="D12" s="25" t="str">
        <f>VLOOKUP(selected_trust,trust_list!A2:D127,3)</f>
        <v>West Yorkshire and Harrogate</v>
      </c>
      <c r="E12" s="24" t="str">
        <f>VLOOKUP(selected_trust,trust_list!A2:D127,4)</f>
        <v>A19</v>
      </c>
      <c r="F12" s="24">
        <f>VLOOKUP(selected_trust_ca_name,trusts_per_ca!A4:B24,2)</f>
        <v>5</v>
      </c>
    </row>
    <row r="13" spans="1:6" x14ac:dyDescent="0.25">
      <c r="C13" s="2"/>
    </row>
    <row r="14" spans="1:6" x14ac:dyDescent="0.25">
      <c r="B14" t="s">
        <v>418</v>
      </c>
      <c r="C14" s="2"/>
    </row>
    <row r="16" spans="1:6" x14ac:dyDescent="0.25">
      <c r="A16" t="s">
        <v>394</v>
      </c>
      <c r="B16" s="26" t="s">
        <v>429</v>
      </c>
      <c r="C16" s="27" t="s">
        <v>430</v>
      </c>
      <c r="D16" s="26" t="s">
        <v>431</v>
      </c>
      <c r="E16" s="26" t="s">
        <v>638</v>
      </c>
    </row>
    <row r="17" spans="1:6" x14ac:dyDescent="0.25">
      <c r="A17" t="s">
        <v>395</v>
      </c>
      <c r="B17" s="25" t="str">
        <f>Dashboard!D10</f>
        <v>Data completeness for Basis of Diagnosis</v>
      </c>
      <c r="C17" s="25" t="str">
        <f>VLOOKUP(selected_dq_descr,data_quality_list!A2:C11,2)</f>
        <v>basis_p</v>
      </c>
      <c r="D17" s="24">
        <f>VLOOKUP(selected_dq_descr,data_quality_list!A2:C11,3)</f>
        <v>0.9</v>
      </c>
      <c r="E17" s="24" t="str">
        <f>VLOOKUP(selected_dq_descr,data_quality_list!A2:D11,4)</f>
        <v>n</v>
      </c>
    </row>
    <row r="18" spans="1:6" x14ac:dyDescent="0.25">
      <c r="C18" s="2"/>
    </row>
    <row r="19" spans="1:6" x14ac:dyDescent="0.25">
      <c r="B19" t="s">
        <v>411</v>
      </c>
      <c r="C19" s="26" t="s">
        <v>414</v>
      </c>
      <c r="D19" s="26" t="s">
        <v>415</v>
      </c>
    </row>
    <row r="20" spans="1:6" x14ac:dyDescent="0.25">
      <c r="C20" s="25">
        <f>Dashboard!P52</f>
        <v>47</v>
      </c>
      <c r="D20" s="31">
        <f>Dashboard!O52</f>
        <v>46.774192810058594</v>
      </c>
    </row>
    <row r="21" spans="1:6" x14ac:dyDescent="0.25">
      <c r="C21" s="25">
        <f>C20</f>
        <v>47</v>
      </c>
      <c r="D21" s="24">
        <f>IF(D20="NR**",NA(),0)</f>
        <v>0</v>
      </c>
    </row>
    <row r="22" spans="1:6" x14ac:dyDescent="0.25">
      <c r="C22" s="2"/>
    </row>
    <row r="23" spans="1:6" x14ac:dyDescent="0.25">
      <c r="B23" t="s">
        <v>412</v>
      </c>
      <c r="C23" s="26" t="s">
        <v>392</v>
      </c>
      <c r="D23" s="26" t="s">
        <v>393</v>
      </c>
    </row>
    <row r="24" spans="1:6" x14ac:dyDescent="0.25">
      <c r="C24" s="25">
        <f>Dashboard!M52</f>
        <v>129</v>
      </c>
      <c r="D24" s="31">
        <f>IF(C24="NR**",NA(),Dashboard!O52/100)</f>
        <v>0.46774192810058596</v>
      </c>
    </row>
    <row r="26" spans="1:6" x14ac:dyDescent="0.25">
      <c r="C26" s="2"/>
    </row>
    <row r="27" spans="1:6" x14ac:dyDescent="0.25">
      <c r="B27" t="s">
        <v>413</v>
      </c>
      <c r="C27" s="26" t="s">
        <v>416</v>
      </c>
      <c r="D27" s="26" t="s">
        <v>417</v>
      </c>
      <c r="E27" s="26" t="s">
        <v>469</v>
      </c>
      <c r="F27" s="26" t="s">
        <v>470</v>
      </c>
    </row>
    <row r="28" spans="1:6" x14ac:dyDescent="0.25">
      <c r="C28" s="25">
        <f>Dashboard!H52</f>
        <v>90</v>
      </c>
      <c r="D28" s="31">
        <f>Dashboard!G52</f>
        <v>96.899223327636719</v>
      </c>
      <c r="E28" s="24">
        <v>0</v>
      </c>
      <c r="F28" s="24">
        <f>IF(selected_dq_target="NA",NA(),selected_dq_target*100)</f>
        <v>90</v>
      </c>
    </row>
    <row r="29" spans="1:6" x14ac:dyDescent="0.25">
      <c r="C29" s="25">
        <f>C28</f>
        <v>90</v>
      </c>
      <c r="D29" s="24">
        <v>0</v>
      </c>
      <c r="E29" s="24">
        <f>COUNTA(trust_indicator_data!A:A)-1</f>
        <v>126</v>
      </c>
      <c r="F29" s="24">
        <f>F28</f>
        <v>90</v>
      </c>
    </row>
    <row r="30" spans="1:6" x14ac:dyDescent="0.25">
      <c r="C30" s="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pageSetUpPr autoPageBreaks="0"/>
  </sheetPr>
  <dimension ref="A1:J11"/>
  <sheetViews>
    <sheetView workbookViewId="0">
      <selection activeCell="E17" sqref="E17"/>
    </sheetView>
  </sheetViews>
  <sheetFormatPr defaultRowHeight="15" x14ac:dyDescent="0.25"/>
  <cols>
    <col min="1" max="1" width="80.5703125" bestFit="1" customWidth="1"/>
    <col min="2" max="2" width="19.7109375" customWidth="1"/>
    <col min="3" max="3" width="20.85546875" customWidth="1"/>
    <col min="4" max="4" width="17.28515625" customWidth="1"/>
    <col min="5" max="5" width="13.42578125" customWidth="1"/>
    <col min="6" max="6" width="15.42578125" customWidth="1"/>
    <col min="7" max="7" width="17.85546875" customWidth="1"/>
    <col min="8" max="8" width="28.28515625" customWidth="1"/>
    <col min="9" max="9" width="25" bestFit="1" customWidth="1"/>
  </cols>
  <sheetData>
    <row r="1" spans="1:10" x14ac:dyDescent="0.25">
      <c r="A1" s="11" t="s">
        <v>420</v>
      </c>
      <c r="B1" s="11" t="s">
        <v>421</v>
      </c>
      <c r="C1" s="11" t="s">
        <v>422</v>
      </c>
      <c r="D1" s="11" t="s">
        <v>423</v>
      </c>
      <c r="E1" s="11" t="s">
        <v>386</v>
      </c>
      <c r="F1" s="11" t="s">
        <v>383</v>
      </c>
      <c r="G1" s="11" t="s">
        <v>384</v>
      </c>
      <c r="H1" s="11" t="s">
        <v>424</v>
      </c>
      <c r="I1" s="11" t="s">
        <v>642</v>
      </c>
    </row>
    <row r="2" spans="1:10" x14ac:dyDescent="0.25">
      <c r="A2" s="12" t="s">
        <v>332</v>
      </c>
      <c r="B2" s="12" t="s">
        <v>6</v>
      </c>
      <c r="C2" s="12" t="str">
        <f>B2&amp;"_adj"</f>
        <v>stage4_p_adj</v>
      </c>
      <c r="D2" s="12">
        <v>1</v>
      </c>
      <c r="E2" s="12" t="s">
        <v>465</v>
      </c>
      <c r="F2" s="12" t="s">
        <v>531</v>
      </c>
      <c r="G2" s="12" t="s">
        <v>338</v>
      </c>
      <c r="H2" s="12" t="s">
        <v>3</v>
      </c>
      <c r="I2" s="12" t="str">
        <f>""</f>
        <v/>
      </c>
    </row>
    <row r="3" spans="1:10" x14ac:dyDescent="0.25">
      <c r="A3" t="s">
        <v>333</v>
      </c>
      <c r="B3" t="s">
        <v>7</v>
      </c>
      <c r="C3" t="str">
        <f t="shared" ref="C3:C11" si="0">B3&amp;"_adj"</f>
        <v>ps0_1_p_adj</v>
      </c>
      <c r="D3">
        <v>2</v>
      </c>
      <c r="E3" t="s">
        <v>466</v>
      </c>
      <c r="F3" t="s">
        <v>532</v>
      </c>
      <c r="G3" t="s">
        <v>338</v>
      </c>
      <c r="H3" t="s">
        <v>3</v>
      </c>
      <c r="I3" t="str">
        <f>""</f>
        <v/>
      </c>
    </row>
    <row r="4" spans="1:10" x14ac:dyDescent="0.25">
      <c r="A4" s="10" t="s">
        <v>334</v>
      </c>
      <c r="B4" s="10" t="s">
        <v>8</v>
      </c>
      <c r="C4" s="10" t="str">
        <f t="shared" si="0"/>
        <v>histconfirmed_p_adj</v>
      </c>
      <c r="D4" s="10">
        <v>3</v>
      </c>
      <c r="E4" s="10" t="s">
        <v>337</v>
      </c>
      <c r="F4" s="10" t="s">
        <v>533</v>
      </c>
      <c r="G4" s="10" t="s">
        <v>338</v>
      </c>
      <c r="H4" s="10" t="s">
        <v>501</v>
      </c>
      <c r="I4" s="10" t="str">
        <f>""</f>
        <v/>
      </c>
    </row>
    <row r="5" spans="1:10" x14ac:dyDescent="0.25">
      <c r="A5" t="s">
        <v>343</v>
      </c>
      <c r="B5" t="s">
        <v>9</v>
      </c>
      <c r="C5" t="str">
        <f t="shared" si="0"/>
        <v>surgery_p_adj</v>
      </c>
      <c r="D5">
        <v>4</v>
      </c>
      <c r="E5" t="s">
        <v>344</v>
      </c>
      <c r="F5" t="s">
        <v>534</v>
      </c>
      <c r="G5" t="s">
        <v>643</v>
      </c>
      <c r="H5" t="s">
        <v>4</v>
      </c>
      <c r="I5" t="str">
        <f>""</f>
        <v/>
      </c>
    </row>
    <row r="6" spans="1:10" x14ac:dyDescent="0.25">
      <c r="A6" s="10" t="s">
        <v>345</v>
      </c>
      <c r="B6" s="10" t="s">
        <v>10</v>
      </c>
      <c r="C6" s="10" t="str">
        <f t="shared" si="0"/>
        <v>chemo_p_adj</v>
      </c>
      <c r="D6" s="10">
        <v>5</v>
      </c>
      <c r="E6" s="10" t="s">
        <v>346</v>
      </c>
      <c r="F6" s="10" t="s">
        <v>419</v>
      </c>
      <c r="G6" s="10" t="s">
        <v>644</v>
      </c>
      <c r="H6" s="10" t="s">
        <v>5</v>
      </c>
      <c r="I6" s="10" t="str">
        <f>""</f>
        <v/>
      </c>
    </row>
    <row r="7" spans="1:10" x14ac:dyDescent="0.25">
      <c r="A7" t="s">
        <v>341</v>
      </c>
      <c r="B7" t="s">
        <v>506</v>
      </c>
      <c r="C7" t="s">
        <v>507</v>
      </c>
      <c r="D7">
        <v>6</v>
      </c>
      <c r="E7" t="s">
        <v>541</v>
      </c>
      <c r="F7" t="s">
        <v>535</v>
      </c>
      <c r="G7" t="s">
        <v>643</v>
      </c>
      <c r="H7" t="s">
        <v>502</v>
      </c>
      <c r="I7" t="s">
        <v>639</v>
      </c>
      <c r="J7" t="s">
        <v>385</v>
      </c>
    </row>
    <row r="8" spans="1:10" x14ac:dyDescent="0.25">
      <c r="A8" t="s">
        <v>342</v>
      </c>
      <c r="B8" t="s">
        <v>508</v>
      </c>
      <c r="C8" t="s">
        <v>509</v>
      </c>
      <c r="D8">
        <v>7</v>
      </c>
      <c r="E8" t="s">
        <v>541</v>
      </c>
      <c r="F8" t="s">
        <v>536</v>
      </c>
      <c r="G8" t="s">
        <v>645</v>
      </c>
      <c r="H8" t="s">
        <v>504</v>
      </c>
      <c r="I8" t="s">
        <v>640</v>
      </c>
      <c r="J8" t="s">
        <v>385</v>
      </c>
    </row>
    <row r="9" spans="1:10" x14ac:dyDescent="0.25">
      <c r="A9" s="10" t="s">
        <v>347</v>
      </c>
      <c r="B9" s="10" t="s">
        <v>11</v>
      </c>
      <c r="C9" s="10" t="str">
        <f t="shared" si="0"/>
        <v>sact_p_adj</v>
      </c>
      <c r="D9" s="10">
        <v>8</v>
      </c>
      <c r="E9" s="10" t="s">
        <v>538</v>
      </c>
      <c r="F9" s="10" t="s">
        <v>537</v>
      </c>
      <c r="G9" s="10" t="s">
        <v>643</v>
      </c>
      <c r="H9" s="10" t="s">
        <v>503</v>
      </c>
      <c r="I9" s="10" t="s">
        <v>641</v>
      </c>
      <c r="J9" t="s">
        <v>385</v>
      </c>
    </row>
    <row r="10" spans="1:10" x14ac:dyDescent="0.25">
      <c r="A10" t="s">
        <v>600</v>
      </c>
      <c r="B10" t="s">
        <v>12</v>
      </c>
      <c r="C10" t="str">
        <f t="shared" si="0"/>
        <v>cns_p_adj</v>
      </c>
      <c r="D10">
        <v>9</v>
      </c>
      <c r="E10" t="s">
        <v>348</v>
      </c>
      <c r="F10" t="s">
        <v>539</v>
      </c>
      <c r="G10" t="s">
        <v>338</v>
      </c>
      <c r="H10" t="s">
        <v>3</v>
      </c>
      <c r="I10" t="str">
        <f>""</f>
        <v/>
      </c>
    </row>
    <row r="11" spans="1:10" x14ac:dyDescent="0.25">
      <c r="A11" s="9" t="s">
        <v>601</v>
      </c>
      <c r="B11" s="9" t="s">
        <v>13</v>
      </c>
      <c r="C11" s="9" t="str">
        <f t="shared" si="0"/>
        <v>emergency_p_adj</v>
      </c>
      <c r="D11" s="9">
        <v>10</v>
      </c>
      <c r="E11" s="9" t="s">
        <v>340</v>
      </c>
      <c r="F11" s="9" t="s">
        <v>540</v>
      </c>
      <c r="G11" s="9" t="s">
        <v>646</v>
      </c>
      <c r="H11" s="9" t="s">
        <v>3</v>
      </c>
      <c r="I11" s="9" t="str">
        <f>""</f>
        <v/>
      </c>
    </row>
  </sheetData>
  <phoneticPr fontId="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D11"/>
  <sheetViews>
    <sheetView workbookViewId="0">
      <selection activeCell="E17" sqref="E17"/>
    </sheetView>
  </sheetViews>
  <sheetFormatPr defaultRowHeight="15" x14ac:dyDescent="0.25"/>
  <cols>
    <col min="1" max="1" width="93.140625" bestFit="1" customWidth="1"/>
    <col min="2" max="2" width="11" bestFit="1" customWidth="1"/>
    <col min="4" max="4" width="10.5703125" bestFit="1" customWidth="1"/>
  </cols>
  <sheetData>
    <row r="1" spans="1:4" x14ac:dyDescent="0.25">
      <c r="A1" t="s">
        <v>408</v>
      </c>
      <c r="B1" t="s">
        <v>409</v>
      </c>
      <c r="C1" t="s">
        <v>410</v>
      </c>
      <c r="D1" t="s">
        <v>637</v>
      </c>
    </row>
    <row r="2" spans="1:4" x14ac:dyDescent="0.25">
      <c r="A2" t="s">
        <v>450</v>
      </c>
      <c r="B2" t="s">
        <v>403</v>
      </c>
      <c r="C2">
        <v>0.9</v>
      </c>
      <c r="D2" t="s">
        <v>3</v>
      </c>
    </row>
    <row r="3" spans="1:4" x14ac:dyDescent="0.25">
      <c r="A3" t="s">
        <v>451</v>
      </c>
      <c r="B3" t="s">
        <v>12</v>
      </c>
      <c r="C3">
        <v>0.9</v>
      </c>
      <c r="D3" t="s">
        <v>3</v>
      </c>
    </row>
    <row r="4" spans="1:4" x14ac:dyDescent="0.25">
      <c r="A4" t="s">
        <v>452</v>
      </c>
      <c r="B4" t="s">
        <v>405</v>
      </c>
      <c r="C4">
        <v>0.9</v>
      </c>
      <c r="D4" t="s">
        <v>3</v>
      </c>
    </row>
    <row r="5" spans="1:4" x14ac:dyDescent="0.25">
      <c r="A5" t="s">
        <v>453</v>
      </c>
      <c r="B5" t="s">
        <v>404</v>
      </c>
      <c r="C5">
        <v>0.9</v>
      </c>
      <c r="D5" t="s">
        <v>3</v>
      </c>
    </row>
    <row r="6" spans="1:4" x14ac:dyDescent="0.25">
      <c r="A6" t="s">
        <v>633</v>
      </c>
      <c r="B6" t="s">
        <v>401</v>
      </c>
      <c r="C6" s="49" t="s">
        <v>339</v>
      </c>
      <c r="D6" t="s">
        <v>3</v>
      </c>
    </row>
    <row r="7" spans="1:4" x14ac:dyDescent="0.25">
      <c r="A7" t="s">
        <v>634</v>
      </c>
      <c r="B7" t="s">
        <v>632</v>
      </c>
      <c r="C7">
        <v>0.75</v>
      </c>
      <c r="D7" t="s">
        <v>636</v>
      </c>
    </row>
    <row r="8" spans="1:4" x14ac:dyDescent="0.25">
      <c r="A8" t="s">
        <v>454</v>
      </c>
      <c r="B8" t="s">
        <v>400</v>
      </c>
      <c r="C8">
        <v>0.9</v>
      </c>
      <c r="D8" t="s">
        <v>3</v>
      </c>
    </row>
    <row r="9" spans="1:4" x14ac:dyDescent="0.25">
      <c r="A9" t="s">
        <v>455</v>
      </c>
      <c r="B9" t="s">
        <v>402</v>
      </c>
      <c r="C9">
        <v>0.9</v>
      </c>
      <c r="D9" t="s">
        <v>3</v>
      </c>
    </row>
    <row r="10" spans="1:4" x14ac:dyDescent="0.25">
      <c r="A10" t="s">
        <v>456</v>
      </c>
      <c r="B10" t="s">
        <v>406</v>
      </c>
      <c r="C10">
        <v>0.9</v>
      </c>
      <c r="D10" t="s">
        <v>3</v>
      </c>
    </row>
    <row r="11" spans="1:4" x14ac:dyDescent="0.25">
      <c r="A11" t="s">
        <v>457</v>
      </c>
      <c r="B11" t="s">
        <v>399</v>
      </c>
      <c r="C11">
        <v>0.9</v>
      </c>
      <c r="D11" t="s">
        <v>3</v>
      </c>
    </row>
  </sheetData>
  <sortState xmlns:xlrd2="http://schemas.microsoft.com/office/spreadsheetml/2017/richdata2" ref="A2:C11">
    <sortCondition ref="A2:A1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1AE2-1B64-4F4F-8A8F-5B5A6407E2B2}">
  <sheetPr>
    <tabColor theme="5" tint="0.79998168889431442"/>
  </sheetPr>
  <dimension ref="A1:D127"/>
  <sheetViews>
    <sheetView workbookViewId="0">
      <selection activeCell="E17" sqref="E17"/>
    </sheetView>
  </sheetViews>
  <sheetFormatPr defaultRowHeight="15" x14ac:dyDescent="0.25"/>
  <cols>
    <col min="1" max="1" width="61" bestFit="1" customWidth="1"/>
    <col min="2" max="2" width="10.42578125" bestFit="1" customWidth="1"/>
    <col min="3" max="3" width="41.42578125" bestFit="1" customWidth="1"/>
    <col min="4" max="4" width="13.28515625" bestFit="1" customWidth="1"/>
  </cols>
  <sheetData>
    <row r="1" spans="1:4" x14ac:dyDescent="0.25">
      <c r="A1" s="11" t="s">
        <v>79</v>
      </c>
      <c r="B1" s="11" t="s">
        <v>78</v>
      </c>
      <c r="C1" s="11" t="s">
        <v>2</v>
      </c>
      <c r="D1" s="11" t="s">
        <v>1</v>
      </c>
    </row>
    <row r="2" spans="1:4" x14ac:dyDescent="0.25">
      <c r="A2" s="12" t="s">
        <v>134</v>
      </c>
      <c r="B2" s="12" t="s">
        <v>133</v>
      </c>
      <c r="C2" s="12" t="s">
        <v>77</v>
      </c>
      <c r="D2" s="12" t="s">
        <v>75</v>
      </c>
    </row>
    <row r="3" spans="1:4" x14ac:dyDescent="0.25">
      <c r="A3" t="s">
        <v>272</v>
      </c>
      <c r="B3" t="s">
        <v>271</v>
      </c>
      <c r="C3" t="s">
        <v>63</v>
      </c>
      <c r="D3" t="s">
        <v>61</v>
      </c>
    </row>
    <row r="4" spans="1:4" x14ac:dyDescent="0.25">
      <c r="A4" s="10" t="s">
        <v>152</v>
      </c>
      <c r="B4" s="10" t="s">
        <v>151</v>
      </c>
      <c r="C4" s="10" t="s">
        <v>45</v>
      </c>
      <c r="D4" s="10" t="s">
        <v>43</v>
      </c>
    </row>
    <row r="5" spans="1:4" x14ac:dyDescent="0.25">
      <c r="A5" t="s">
        <v>154</v>
      </c>
      <c r="B5" t="s">
        <v>153</v>
      </c>
      <c r="C5" t="s">
        <v>60</v>
      </c>
      <c r="D5" t="s">
        <v>58</v>
      </c>
    </row>
    <row r="6" spans="1:4" x14ac:dyDescent="0.25">
      <c r="A6" s="10" t="s">
        <v>89</v>
      </c>
      <c r="B6" s="10" t="s">
        <v>88</v>
      </c>
      <c r="C6" s="10" t="s">
        <v>45</v>
      </c>
      <c r="D6" s="10" t="s">
        <v>43</v>
      </c>
    </row>
    <row r="7" spans="1:4" x14ac:dyDescent="0.25">
      <c r="A7" t="s">
        <v>128</v>
      </c>
      <c r="B7" t="s">
        <v>127</v>
      </c>
      <c r="C7" t="s">
        <v>27</v>
      </c>
      <c r="D7" t="s">
        <v>25</v>
      </c>
    </row>
    <row r="8" spans="1:4" x14ac:dyDescent="0.25">
      <c r="A8" s="10" t="s">
        <v>318</v>
      </c>
      <c r="B8" s="10" t="s">
        <v>317</v>
      </c>
      <c r="C8" s="10" t="s">
        <v>39</v>
      </c>
      <c r="D8" s="10" t="s">
        <v>37</v>
      </c>
    </row>
    <row r="9" spans="1:4" x14ac:dyDescent="0.25">
      <c r="A9" t="s">
        <v>220</v>
      </c>
      <c r="B9" t="s">
        <v>219</v>
      </c>
      <c r="C9" t="s">
        <v>30</v>
      </c>
      <c r="D9" t="s">
        <v>28</v>
      </c>
    </row>
    <row r="10" spans="1:4" x14ac:dyDescent="0.25">
      <c r="A10" s="10" t="s">
        <v>102</v>
      </c>
      <c r="B10" s="10" t="s">
        <v>101</v>
      </c>
      <c r="C10" s="10" t="s">
        <v>77</v>
      </c>
      <c r="D10" s="10" t="s">
        <v>75</v>
      </c>
    </row>
    <row r="11" spans="1:4" x14ac:dyDescent="0.25">
      <c r="A11" t="s">
        <v>324</v>
      </c>
      <c r="B11" t="s">
        <v>323</v>
      </c>
      <c r="C11" t="s">
        <v>66</v>
      </c>
      <c r="D11" t="s">
        <v>64</v>
      </c>
    </row>
    <row r="12" spans="1:4" x14ac:dyDescent="0.25">
      <c r="A12" s="10" t="s">
        <v>308</v>
      </c>
      <c r="B12" s="10" t="s">
        <v>307</v>
      </c>
      <c r="C12" s="10" t="s">
        <v>77</v>
      </c>
      <c r="D12" s="10" t="s">
        <v>75</v>
      </c>
    </row>
    <row r="13" spans="1:4" x14ac:dyDescent="0.25">
      <c r="A13" t="s">
        <v>168</v>
      </c>
      <c r="B13" t="s">
        <v>167</v>
      </c>
      <c r="C13" t="s">
        <v>24</v>
      </c>
      <c r="D13" t="s">
        <v>22</v>
      </c>
    </row>
    <row r="14" spans="1:4" x14ac:dyDescent="0.25">
      <c r="A14" s="10" t="s">
        <v>246</v>
      </c>
      <c r="B14" s="10" t="s">
        <v>245</v>
      </c>
      <c r="C14" s="10" t="s">
        <v>512</v>
      </c>
      <c r="D14" s="10" t="s">
        <v>70</v>
      </c>
    </row>
    <row r="15" spans="1:4" x14ac:dyDescent="0.25">
      <c r="A15" t="s">
        <v>158</v>
      </c>
      <c r="B15" t="s">
        <v>157</v>
      </c>
      <c r="C15" t="s">
        <v>21</v>
      </c>
      <c r="D15" t="s">
        <v>19</v>
      </c>
    </row>
    <row r="16" spans="1:4" x14ac:dyDescent="0.25">
      <c r="A16" s="10" t="s">
        <v>198</v>
      </c>
      <c r="B16" s="10" t="s">
        <v>197</v>
      </c>
      <c r="C16" s="10" t="s">
        <v>18</v>
      </c>
      <c r="D16" s="10" t="s">
        <v>16</v>
      </c>
    </row>
    <row r="17" spans="1:4" x14ac:dyDescent="0.25">
      <c r="A17" t="s">
        <v>322</v>
      </c>
      <c r="B17" t="s">
        <v>321</v>
      </c>
      <c r="C17" t="s">
        <v>48</v>
      </c>
      <c r="D17" t="s">
        <v>46</v>
      </c>
    </row>
    <row r="18" spans="1:4" x14ac:dyDescent="0.25">
      <c r="A18" s="10" t="s">
        <v>186</v>
      </c>
      <c r="B18" s="10" t="s">
        <v>185</v>
      </c>
      <c r="C18" s="10" t="s">
        <v>512</v>
      </c>
      <c r="D18" s="10" t="s">
        <v>70</v>
      </c>
    </row>
    <row r="19" spans="1:4" x14ac:dyDescent="0.25">
      <c r="A19" t="s">
        <v>228</v>
      </c>
      <c r="B19" t="s">
        <v>227</v>
      </c>
      <c r="C19" t="s">
        <v>36</v>
      </c>
      <c r="D19" t="s">
        <v>34</v>
      </c>
    </row>
    <row r="20" spans="1:4" x14ac:dyDescent="0.25">
      <c r="A20" s="10" t="s">
        <v>240</v>
      </c>
      <c r="B20" s="10" t="s">
        <v>239</v>
      </c>
      <c r="C20" s="10" t="s">
        <v>60</v>
      </c>
      <c r="D20" s="10" t="s">
        <v>58</v>
      </c>
    </row>
    <row r="21" spans="1:4" x14ac:dyDescent="0.25">
      <c r="A21" t="s">
        <v>114</v>
      </c>
      <c r="B21" t="s">
        <v>113</v>
      </c>
      <c r="C21" t="s">
        <v>69</v>
      </c>
      <c r="D21" t="s">
        <v>67</v>
      </c>
    </row>
    <row r="22" spans="1:4" x14ac:dyDescent="0.25">
      <c r="A22" s="10" t="s">
        <v>300</v>
      </c>
      <c r="B22" s="10" t="s">
        <v>299</v>
      </c>
      <c r="C22" s="10" t="s">
        <v>27</v>
      </c>
      <c r="D22" s="10" t="s">
        <v>25</v>
      </c>
    </row>
    <row r="23" spans="1:4" x14ac:dyDescent="0.25">
      <c r="A23" t="s">
        <v>196</v>
      </c>
      <c r="B23" t="s">
        <v>195</v>
      </c>
      <c r="C23" t="s">
        <v>18</v>
      </c>
      <c r="D23" t="s">
        <v>16</v>
      </c>
    </row>
    <row r="24" spans="1:4" x14ac:dyDescent="0.25">
      <c r="A24" s="10" t="s">
        <v>284</v>
      </c>
      <c r="B24" s="10" t="s">
        <v>283</v>
      </c>
      <c r="C24" s="10" t="s">
        <v>36</v>
      </c>
      <c r="D24" s="10" t="s">
        <v>34</v>
      </c>
    </row>
    <row r="25" spans="1:4" x14ac:dyDescent="0.25">
      <c r="A25" t="s">
        <v>326</v>
      </c>
      <c r="B25" t="s">
        <v>325</v>
      </c>
      <c r="C25" t="s">
        <v>39</v>
      </c>
      <c r="D25" t="s">
        <v>37</v>
      </c>
    </row>
    <row r="26" spans="1:4" x14ac:dyDescent="0.25">
      <c r="A26" s="10" t="s">
        <v>142</v>
      </c>
      <c r="B26" s="10" t="s">
        <v>141</v>
      </c>
      <c r="C26" s="10" t="s">
        <v>24</v>
      </c>
      <c r="D26" s="10" t="s">
        <v>22</v>
      </c>
    </row>
    <row r="27" spans="1:4" x14ac:dyDescent="0.25">
      <c r="A27" t="s">
        <v>312</v>
      </c>
      <c r="B27" t="s">
        <v>311</v>
      </c>
      <c r="C27" t="s">
        <v>63</v>
      </c>
      <c r="D27" t="s">
        <v>61</v>
      </c>
    </row>
    <row r="28" spans="1:4" x14ac:dyDescent="0.25">
      <c r="A28" s="10" t="s">
        <v>282</v>
      </c>
      <c r="B28" s="10" t="s">
        <v>281</v>
      </c>
      <c r="C28" s="10" t="s">
        <v>512</v>
      </c>
      <c r="D28" s="10" t="s">
        <v>70</v>
      </c>
    </row>
    <row r="29" spans="1:4" x14ac:dyDescent="0.25">
      <c r="A29" t="s">
        <v>144</v>
      </c>
      <c r="B29" t="s">
        <v>143</v>
      </c>
      <c r="C29" t="s">
        <v>63</v>
      </c>
      <c r="D29" t="s">
        <v>61</v>
      </c>
    </row>
    <row r="30" spans="1:4" x14ac:dyDescent="0.25">
      <c r="A30" s="10" t="s">
        <v>252</v>
      </c>
      <c r="B30" s="10" t="s">
        <v>251</v>
      </c>
      <c r="C30" s="10" t="s">
        <v>48</v>
      </c>
      <c r="D30" s="10" t="s">
        <v>46</v>
      </c>
    </row>
    <row r="31" spans="1:4" x14ac:dyDescent="0.25">
      <c r="A31" t="s">
        <v>214</v>
      </c>
      <c r="B31" t="s">
        <v>213</v>
      </c>
      <c r="C31" t="s">
        <v>74</v>
      </c>
      <c r="D31" t="s">
        <v>72</v>
      </c>
    </row>
    <row r="32" spans="1:4" x14ac:dyDescent="0.25">
      <c r="A32" s="10" t="s">
        <v>264</v>
      </c>
      <c r="B32" s="10" t="s">
        <v>263</v>
      </c>
      <c r="C32" s="10" t="s">
        <v>54</v>
      </c>
      <c r="D32" s="10" t="s">
        <v>52</v>
      </c>
    </row>
    <row r="33" spans="1:4" x14ac:dyDescent="0.25">
      <c r="A33" t="s">
        <v>224</v>
      </c>
      <c r="B33" t="s">
        <v>223</v>
      </c>
      <c r="C33" t="s">
        <v>54</v>
      </c>
      <c r="D33" t="s">
        <v>52</v>
      </c>
    </row>
    <row r="34" spans="1:4" x14ac:dyDescent="0.25">
      <c r="A34" s="10" t="s">
        <v>182</v>
      </c>
      <c r="B34" s="10" t="s">
        <v>181</v>
      </c>
      <c r="C34" s="10" t="s">
        <v>57</v>
      </c>
      <c r="D34" s="10" t="s">
        <v>55</v>
      </c>
    </row>
    <row r="35" spans="1:4" x14ac:dyDescent="0.25">
      <c r="A35" t="s">
        <v>226</v>
      </c>
      <c r="B35" t="s">
        <v>225</v>
      </c>
      <c r="C35" t="s">
        <v>69</v>
      </c>
      <c r="D35" t="s">
        <v>67</v>
      </c>
    </row>
    <row r="36" spans="1:4" x14ac:dyDescent="0.25">
      <c r="A36" s="10" t="s">
        <v>132</v>
      </c>
      <c r="B36" s="10" t="s">
        <v>131</v>
      </c>
      <c r="C36" s="10" t="s">
        <v>33</v>
      </c>
      <c r="D36" s="10" t="s">
        <v>31</v>
      </c>
    </row>
    <row r="37" spans="1:4" x14ac:dyDescent="0.25">
      <c r="A37" t="s">
        <v>250</v>
      </c>
      <c r="B37" t="s">
        <v>249</v>
      </c>
      <c r="C37" t="s">
        <v>45</v>
      </c>
      <c r="D37" t="s">
        <v>43</v>
      </c>
    </row>
    <row r="38" spans="1:4" x14ac:dyDescent="0.25">
      <c r="A38" s="10" t="s">
        <v>290</v>
      </c>
      <c r="B38" s="10" t="s">
        <v>289</v>
      </c>
      <c r="C38" s="10" t="s">
        <v>33</v>
      </c>
      <c r="D38" s="10" t="s">
        <v>31</v>
      </c>
    </row>
    <row r="39" spans="1:4" x14ac:dyDescent="0.25">
      <c r="A39" t="s">
        <v>330</v>
      </c>
      <c r="B39" t="s">
        <v>329</v>
      </c>
      <c r="C39" t="s">
        <v>512</v>
      </c>
      <c r="D39" t="s">
        <v>70</v>
      </c>
    </row>
    <row r="40" spans="1:4" x14ac:dyDescent="0.25">
      <c r="A40" s="10" t="s">
        <v>87</v>
      </c>
      <c r="B40" s="10" t="s">
        <v>86</v>
      </c>
      <c r="C40" s="10" t="s">
        <v>69</v>
      </c>
      <c r="D40" s="10" t="s">
        <v>67</v>
      </c>
    </row>
    <row r="41" spans="1:4" x14ac:dyDescent="0.25">
      <c r="A41" t="s">
        <v>164</v>
      </c>
      <c r="B41" t="s">
        <v>163</v>
      </c>
      <c r="C41" t="s">
        <v>24</v>
      </c>
      <c r="D41" t="s">
        <v>22</v>
      </c>
    </row>
    <row r="42" spans="1:4" x14ac:dyDescent="0.25">
      <c r="A42" s="10" t="s">
        <v>234</v>
      </c>
      <c r="B42" s="10" t="s">
        <v>233</v>
      </c>
      <c r="C42" s="10" t="s">
        <v>21</v>
      </c>
      <c r="D42" s="10" t="s">
        <v>19</v>
      </c>
    </row>
    <row r="43" spans="1:4" x14ac:dyDescent="0.25">
      <c r="A43" t="s">
        <v>200</v>
      </c>
      <c r="B43" t="s">
        <v>199</v>
      </c>
      <c r="C43" t="s">
        <v>57</v>
      </c>
      <c r="D43" t="s">
        <v>55</v>
      </c>
    </row>
    <row r="44" spans="1:4" x14ac:dyDescent="0.25">
      <c r="A44" s="10" t="s">
        <v>112</v>
      </c>
      <c r="B44" s="10" t="s">
        <v>111</v>
      </c>
      <c r="C44" s="10" t="s">
        <v>512</v>
      </c>
      <c r="D44" s="10" t="s">
        <v>70</v>
      </c>
    </row>
    <row r="45" spans="1:4" x14ac:dyDescent="0.25">
      <c r="A45" t="s">
        <v>320</v>
      </c>
      <c r="B45" t="s">
        <v>319</v>
      </c>
      <c r="C45" t="s">
        <v>39</v>
      </c>
      <c r="D45" t="s">
        <v>37</v>
      </c>
    </row>
    <row r="46" spans="1:4" x14ac:dyDescent="0.25">
      <c r="A46" s="10" t="s">
        <v>254</v>
      </c>
      <c r="B46" s="10" t="s">
        <v>253</v>
      </c>
      <c r="C46" s="10" t="s">
        <v>77</v>
      </c>
      <c r="D46" s="10" t="s">
        <v>75</v>
      </c>
    </row>
    <row r="47" spans="1:4" x14ac:dyDescent="0.25">
      <c r="A47" t="s">
        <v>184</v>
      </c>
      <c r="B47" t="s">
        <v>183</v>
      </c>
      <c r="C47" t="s">
        <v>57</v>
      </c>
      <c r="D47" t="s">
        <v>55</v>
      </c>
    </row>
    <row r="48" spans="1:4" x14ac:dyDescent="0.25">
      <c r="A48" s="10" t="s">
        <v>122</v>
      </c>
      <c r="B48" s="10" t="s">
        <v>121</v>
      </c>
      <c r="C48" s="10" t="s">
        <v>18</v>
      </c>
      <c r="D48" s="10" t="s">
        <v>16</v>
      </c>
    </row>
    <row r="49" spans="1:4" x14ac:dyDescent="0.25">
      <c r="A49" t="s">
        <v>148</v>
      </c>
      <c r="B49" t="s">
        <v>147</v>
      </c>
      <c r="C49" t="s">
        <v>18</v>
      </c>
      <c r="D49" t="s">
        <v>16</v>
      </c>
    </row>
    <row r="50" spans="1:4" x14ac:dyDescent="0.25">
      <c r="A50" s="10" t="s">
        <v>91</v>
      </c>
      <c r="B50" s="10" t="s">
        <v>90</v>
      </c>
      <c r="C50" s="10" t="s">
        <v>512</v>
      </c>
      <c r="D50" s="10" t="s">
        <v>70</v>
      </c>
    </row>
    <row r="51" spans="1:4" x14ac:dyDescent="0.25">
      <c r="A51" t="s">
        <v>296</v>
      </c>
      <c r="B51" t="s">
        <v>295</v>
      </c>
      <c r="C51" t="s">
        <v>36</v>
      </c>
      <c r="D51" t="s">
        <v>34</v>
      </c>
    </row>
    <row r="52" spans="1:4" x14ac:dyDescent="0.25">
      <c r="A52" s="10" t="s">
        <v>81</v>
      </c>
      <c r="B52" s="10" t="s">
        <v>80</v>
      </c>
      <c r="C52" s="10" t="s">
        <v>30</v>
      </c>
      <c r="D52" s="10" t="s">
        <v>28</v>
      </c>
    </row>
    <row r="53" spans="1:4" x14ac:dyDescent="0.25">
      <c r="A53" t="s">
        <v>242</v>
      </c>
      <c r="B53" t="s">
        <v>241</v>
      </c>
      <c r="C53" t="s">
        <v>36</v>
      </c>
      <c r="D53" t="s">
        <v>34</v>
      </c>
    </row>
    <row r="54" spans="1:4" x14ac:dyDescent="0.25">
      <c r="A54" s="10" t="s">
        <v>104</v>
      </c>
      <c r="B54" s="10" t="s">
        <v>103</v>
      </c>
      <c r="C54" s="10" t="s">
        <v>27</v>
      </c>
      <c r="D54" s="10" t="s">
        <v>25</v>
      </c>
    </row>
    <row r="55" spans="1:4" x14ac:dyDescent="0.25">
      <c r="A55" t="s">
        <v>124</v>
      </c>
      <c r="B55" t="s">
        <v>123</v>
      </c>
      <c r="C55" t="s">
        <v>18</v>
      </c>
      <c r="D55" t="s">
        <v>16</v>
      </c>
    </row>
    <row r="56" spans="1:4" x14ac:dyDescent="0.25">
      <c r="A56" s="10" t="s">
        <v>314</v>
      </c>
      <c r="B56" s="10" t="s">
        <v>313</v>
      </c>
      <c r="C56" s="10" t="s">
        <v>77</v>
      </c>
      <c r="D56" s="10" t="s">
        <v>75</v>
      </c>
    </row>
    <row r="57" spans="1:4" x14ac:dyDescent="0.25">
      <c r="A57" t="s">
        <v>140</v>
      </c>
      <c r="B57" t="s">
        <v>139</v>
      </c>
      <c r="C57" t="s">
        <v>27</v>
      </c>
      <c r="D57" t="s">
        <v>25</v>
      </c>
    </row>
    <row r="58" spans="1:4" x14ac:dyDescent="0.25">
      <c r="A58" s="10" t="s">
        <v>216</v>
      </c>
      <c r="B58" s="10" t="s">
        <v>215</v>
      </c>
      <c r="C58" s="10" t="s">
        <v>24</v>
      </c>
      <c r="D58" s="10" t="s">
        <v>22</v>
      </c>
    </row>
    <row r="59" spans="1:4" x14ac:dyDescent="0.25">
      <c r="A59" t="s">
        <v>280</v>
      </c>
      <c r="B59" t="s">
        <v>279</v>
      </c>
      <c r="C59" t="s">
        <v>54</v>
      </c>
      <c r="D59" t="s">
        <v>52</v>
      </c>
    </row>
    <row r="60" spans="1:4" x14ac:dyDescent="0.25">
      <c r="A60" s="10" t="s">
        <v>232</v>
      </c>
      <c r="B60" s="10" t="s">
        <v>231</v>
      </c>
      <c r="C60" s="10" t="s">
        <v>48</v>
      </c>
      <c r="D60" s="10" t="s">
        <v>46</v>
      </c>
    </row>
    <row r="61" spans="1:4" x14ac:dyDescent="0.25">
      <c r="A61" t="s">
        <v>108</v>
      </c>
      <c r="B61" t="s">
        <v>107</v>
      </c>
      <c r="C61" t="s">
        <v>42</v>
      </c>
      <c r="D61" t="s">
        <v>40</v>
      </c>
    </row>
    <row r="62" spans="1:4" x14ac:dyDescent="0.25">
      <c r="A62" s="10" t="s">
        <v>286</v>
      </c>
      <c r="B62" s="10" t="s">
        <v>285</v>
      </c>
      <c r="C62" s="10" t="s">
        <v>48</v>
      </c>
      <c r="D62" s="10" t="s">
        <v>46</v>
      </c>
    </row>
    <row r="63" spans="1:4" x14ac:dyDescent="0.25">
      <c r="A63" t="s">
        <v>162</v>
      </c>
      <c r="B63" t="s">
        <v>161</v>
      </c>
      <c r="C63" t="s">
        <v>24</v>
      </c>
      <c r="D63" t="s">
        <v>22</v>
      </c>
    </row>
    <row r="64" spans="1:4" x14ac:dyDescent="0.25">
      <c r="A64" s="10" t="s">
        <v>236</v>
      </c>
      <c r="B64" s="10" t="s">
        <v>235</v>
      </c>
      <c r="C64" s="10" t="s">
        <v>21</v>
      </c>
      <c r="D64" s="10" t="s">
        <v>19</v>
      </c>
    </row>
    <row r="65" spans="1:4" x14ac:dyDescent="0.25">
      <c r="A65" t="s">
        <v>194</v>
      </c>
      <c r="B65" t="s">
        <v>193</v>
      </c>
      <c r="C65" t="s">
        <v>33</v>
      </c>
      <c r="D65" t="s">
        <v>31</v>
      </c>
    </row>
    <row r="66" spans="1:4" x14ac:dyDescent="0.25">
      <c r="A66" s="10" t="s">
        <v>266</v>
      </c>
      <c r="B66" s="10" t="s">
        <v>265</v>
      </c>
      <c r="C66" s="10" t="s">
        <v>48</v>
      </c>
      <c r="D66" s="10" t="s">
        <v>46</v>
      </c>
    </row>
    <row r="67" spans="1:4" x14ac:dyDescent="0.25">
      <c r="A67" t="s">
        <v>310</v>
      </c>
      <c r="B67" t="s">
        <v>309</v>
      </c>
      <c r="C67" t="s">
        <v>21</v>
      </c>
      <c r="D67" t="s">
        <v>19</v>
      </c>
    </row>
    <row r="68" spans="1:4" x14ac:dyDescent="0.25">
      <c r="A68" s="10" t="s">
        <v>270</v>
      </c>
      <c r="B68" s="10" t="s">
        <v>269</v>
      </c>
      <c r="C68" s="10" t="s">
        <v>66</v>
      </c>
      <c r="D68" s="10" t="s">
        <v>64</v>
      </c>
    </row>
    <row r="69" spans="1:4" x14ac:dyDescent="0.25">
      <c r="A69" t="s">
        <v>160</v>
      </c>
      <c r="B69" t="s">
        <v>159</v>
      </c>
      <c r="C69" t="s">
        <v>24</v>
      </c>
      <c r="D69" t="s">
        <v>22</v>
      </c>
    </row>
    <row r="70" spans="1:4" x14ac:dyDescent="0.25">
      <c r="A70" s="10" t="s">
        <v>204</v>
      </c>
      <c r="B70" s="10" t="s">
        <v>203</v>
      </c>
      <c r="C70" s="10" t="s">
        <v>98</v>
      </c>
      <c r="D70" s="10" t="s">
        <v>49</v>
      </c>
    </row>
    <row r="71" spans="1:4" x14ac:dyDescent="0.25">
      <c r="A71" t="s">
        <v>178</v>
      </c>
      <c r="B71" t="s">
        <v>177</v>
      </c>
      <c r="C71" t="s">
        <v>69</v>
      </c>
      <c r="D71" t="s">
        <v>67</v>
      </c>
    </row>
    <row r="72" spans="1:4" x14ac:dyDescent="0.25">
      <c r="A72" s="10" t="s">
        <v>180</v>
      </c>
      <c r="B72" s="10" t="s">
        <v>179</v>
      </c>
      <c r="C72" s="10" t="s">
        <v>66</v>
      </c>
      <c r="D72" s="10" t="s">
        <v>64</v>
      </c>
    </row>
    <row r="73" spans="1:4" x14ac:dyDescent="0.25">
      <c r="A73" t="s">
        <v>146</v>
      </c>
      <c r="B73" t="s">
        <v>145</v>
      </c>
      <c r="C73" t="s">
        <v>98</v>
      </c>
      <c r="D73" t="s">
        <v>49</v>
      </c>
    </row>
    <row r="74" spans="1:4" x14ac:dyDescent="0.25">
      <c r="A74" s="10" t="s">
        <v>172</v>
      </c>
      <c r="B74" s="10" t="s">
        <v>171</v>
      </c>
      <c r="C74" s="10" t="s">
        <v>98</v>
      </c>
      <c r="D74" s="10" t="s">
        <v>49</v>
      </c>
    </row>
    <row r="75" spans="1:4" x14ac:dyDescent="0.25">
      <c r="A75" t="s">
        <v>106</v>
      </c>
      <c r="B75" t="s">
        <v>105</v>
      </c>
      <c r="C75" t="s">
        <v>42</v>
      </c>
      <c r="D75" t="s">
        <v>40</v>
      </c>
    </row>
    <row r="76" spans="1:4" x14ac:dyDescent="0.25">
      <c r="A76" s="10" t="s">
        <v>93</v>
      </c>
      <c r="B76" s="10" t="s">
        <v>92</v>
      </c>
      <c r="C76" s="10" t="s">
        <v>63</v>
      </c>
      <c r="D76" s="10" t="s">
        <v>61</v>
      </c>
    </row>
    <row r="77" spans="1:4" x14ac:dyDescent="0.25">
      <c r="A77" t="s">
        <v>138</v>
      </c>
      <c r="B77" t="s">
        <v>137</v>
      </c>
      <c r="C77" t="s">
        <v>54</v>
      </c>
      <c r="D77" t="s">
        <v>52</v>
      </c>
    </row>
    <row r="78" spans="1:4" x14ac:dyDescent="0.25">
      <c r="A78" s="10" t="s">
        <v>218</v>
      </c>
      <c r="B78" s="10" t="s">
        <v>217</v>
      </c>
      <c r="C78" s="10" t="s">
        <v>30</v>
      </c>
      <c r="D78" s="10" t="s">
        <v>28</v>
      </c>
    </row>
    <row r="79" spans="1:4" x14ac:dyDescent="0.25">
      <c r="A79" t="s">
        <v>238</v>
      </c>
      <c r="B79" t="s">
        <v>237</v>
      </c>
      <c r="C79" t="s">
        <v>54</v>
      </c>
      <c r="D79" t="s">
        <v>52</v>
      </c>
    </row>
    <row r="80" spans="1:4" x14ac:dyDescent="0.25">
      <c r="A80" s="10" t="s">
        <v>316</v>
      </c>
      <c r="B80" s="10" t="s">
        <v>315</v>
      </c>
      <c r="C80" s="10" t="s">
        <v>74</v>
      </c>
      <c r="D80" s="10" t="s">
        <v>72</v>
      </c>
    </row>
    <row r="81" spans="1:4" x14ac:dyDescent="0.25">
      <c r="A81" t="s">
        <v>176</v>
      </c>
      <c r="B81" t="s">
        <v>175</v>
      </c>
      <c r="C81" t="s">
        <v>60</v>
      </c>
      <c r="D81" t="s">
        <v>58</v>
      </c>
    </row>
    <row r="82" spans="1:4" x14ac:dyDescent="0.25">
      <c r="A82" s="10" t="s">
        <v>202</v>
      </c>
      <c r="B82" s="10" t="s">
        <v>201</v>
      </c>
      <c r="C82" s="10" t="s">
        <v>21</v>
      </c>
      <c r="D82" s="10" t="s">
        <v>19</v>
      </c>
    </row>
    <row r="83" spans="1:4" x14ac:dyDescent="0.25">
      <c r="A83" t="s">
        <v>328</v>
      </c>
      <c r="B83" t="s">
        <v>327</v>
      </c>
      <c r="C83" t="s">
        <v>74</v>
      </c>
      <c r="D83" t="s">
        <v>72</v>
      </c>
    </row>
    <row r="84" spans="1:4" x14ac:dyDescent="0.25">
      <c r="A84" s="10" t="s">
        <v>170</v>
      </c>
      <c r="B84" s="10" t="s">
        <v>169</v>
      </c>
      <c r="C84" s="10" t="s">
        <v>54</v>
      </c>
      <c r="D84" s="10" t="s">
        <v>52</v>
      </c>
    </row>
    <row r="85" spans="1:4" x14ac:dyDescent="0.25">
      <c r="A85" t="s">
        <v>276</v>
      </c>
      <c r="B85" t="s">
        <v>275</v>
      </c>
      <c r="C85" t="s">
        <v>48</v>
      </c>
      <c r="D85" t="s">
        <v>46</v>
      </c>
    </row>
    <row r="86" spans="1:4" x14ac:dyDescent="0.25">
      <c r="A86" s="10" t="s">
        <v>83</v>
      </c>
      <c r="B86" s="10" t="s">
        <v>82</v>
      </c>
      <c r="C86" s="10" t="s">
        <v>48</v>
      </c>
      <c r="D86" s="10" t="s">
        <v>46</v>
      </c>
    </row>
    <row r="87" spans="1:4" x14ac:dyDescent="0.25">
      <c r="A87" t="s">
        <v>190</v>
      </c>
      <c r="B87" t="s">
        <v>189</v>
      </c>
      <c r="C87" t="s">
        <v>74</v>
      </c>
      <c r="D87" t="s">
        <v>72</v>
      </c>
    </row>
    <row r="88" spans="1:4" x14ac:dyDescent="0.25">
      <c r="A88" s="10" t="s">
        <v>288</v>
      </c>
      <c r="B88" s="10" t="s">
        <v>287</v>
      </c>
      <c r="C88" s="10" t="s">
        <v>18</v>
      </c>
      <c r="D88" s="10" t="s">
        <v>16</v>
      </c>
    </row>
    <row r="89" spans="1:4" x14ac:dyDescent="0.25">
      <c r="A89" t="s">
        <v>188</v>
      </c>
      <c r="B89" t="s">
        <v>187</v>
      </c>
      <c r="C89" t="s">
        <v>512</v>
      </c>
      <c r="D89" t="s">
        <v>70</v>
      </c>
    </row>
    <row r="90" spans="1:4" x14ac:dyDescent="0.25">
      <c r="A90" s="10" t="s">
        <v>120</v>
      </c>
      <c r="B90" s="10" t="s">
        <v>119</v>
      </c>
      <c r="C90" s="10" t="s">
        <v>18</v>
      </c>
      <c r="D90" s="10" t="s">
        <v>16</v>
      </c>
    </row>
    <row r="91" spans="1:4" x14ac:dyDescent="0.25">
      <c r="A91" t="s">
        <v>302</v>
      </c>
      <c r="B91" t="s">
        <v>301</v>
      </c>
      <c r="C91" t="s">
        <v>30</v>
      </c>
      <c r="D91" t="s">
        <v>28</v>
      </c>
    </row>
    <row r="92" spans="1:4" x14ac:dyDescent="0.25">
      <c r="A92" s="10" t="s">
        <v>274</v>
      </c>
      <c r="B92" s="10" t="s">
        <v>273</v>
      </c>
      <c r="C92" s="10" t="s">
        <v>63</v>
      </c>
      <c r="D92" s="10" t="s">
        <v>61</v>
      </c>
    </row>
    <row r="93" spans="1:4" x14ac:dyDescent="0.25">
      <c r="A93" t="s">
        <v>222</v>
      </c>
      <c r="B93" t="s">
        <v>221</v>
      </c>
      <c r="C93" t="s">
        <v>30</v>
      </c>
      <c r="D93" t="s">
        <v>28</v>
      </c>
    </row>
    <row r="94" spans="1:4" x14ac:dyDescent="0.25">
      <c r="A94" s="10" t="s">
        <v>126</v>
      </c>
      <c r="B94" s="10" t="s">
        <v>125</v>
      </c>
      <c r="C94" s="10" t="s">
        <v>30</v>
      </c>
      <c r="D94" s="10" t="s">
        <v>28</v>
      </c>
    </row>
    <row r="95" spans="1:4" x14ac:dyDescent="0.25">
      <c r="A95" t="s">
        <v>150</v>
      </c>
      <c r="B95" t="s">
        <v>149</v>
      </c>
      <c r="C95" t="s">
        <v>18</v>
      </c>
      <c r="D95" t="s">
        <v>16</v>
      </c>
    </row>
    <row r="96" spans="1:4" x14ac:dyDescent="0.25">
      <c r="A96" s="10" t="s">
        <v>230</v>
      </c>
      <c r="B96" s="10" t="s">
        <v>229</v>
      </c>
      <c r="C96" s="10" t="s">
        <v>74</v>
      </c>
      <c r="D96" s="10" t="s">
        <v>72</v>
      </c>
    </row>
    <row r="97" spans="1:4" x14ac:dyDescent="0.25">
      <c r="A97" t="s">
        <v>110</v>
      </c>
      <c r="B97" t="s">
        <v>109</v>
      </c>
      <c r="C97" t="s">
        <v>512</v>
      </c>
      <c r="D97" t="s">
        <v>70</v>
      </c>
    </row>
    <row r="98" spans="1:4" x14ac:dyDescent="0.25">
      <c r="A98" s="10" t="s">
        <v>262</v>
      </c>
      <c r="B98" s="10" t="s">
        <v>261</v>
      </c>
      <c r="C98" s="10" t="s">
        <v>48</v>
      </c>
      <c r="D98" s="10" t="s">
        <v>46</v>
      </c>
    </row>
    <row r="99" spans="1:4" x14ac:dyDescent="0.25">
      <c r="A99" t="s">
        <v>248</v>
      </c>
      <c r="B99" t="s">
        <v>247</v>
      </c>
      <c r="C99" t="s">
        <v>27</v>
      </c>
      <c r="D99" t="s">
        <v>25</v>
      </c>
    </row>
    <row r="100" spans="1:4" x14ac:dyDescent="0.25">
      <c r="A100" s="10" t="s">
        <v>136</v>
      </c>
      <c r="B100" s="10" t="s">
        <v>135</v>
      </c>
      <c r="C100" s="10" t="s">
        <v>24</v>
      </c>
      <c r="D100" s="10" t="s">
        <v>22</v>
      </c>
    </row>
    <row r="101" spans="1:4" x14ac:dyDescent="0.25">
      <c r="A101" t="s">
        <v>156</v>
      </c>
      <c r="B101" t="s">
        <v>155</v>
      </c>
      <c r="C101" t="s">
        <v>60</v>
      </c>
      <c r="D101" t="s">
        <v>58</v>
      </c>
    </row>
    <row r="102" spans="1:4" x14ac:dyDescent="0.25">
      <c r="A102" s="10" t="s">
        <v>244</v>
      </c>
      <c r="B102" s="10" t="s">
        <v>243</v>
      </c>
      <c r="C102" s="10" t="s">
        <v>512</v>
      </c>
      <c r="D102" s="10" t="s">
        <v>70</v>
      </c>
    </row>
    <row r="103" spans="1:4" x14ac:dyDescent="0.25">
      <c r="A103" t="s">
        <v>210</v>
      </c>
      <c r="B103" t="s">
        <v>209</v>
      </c>
      <c r="C103" t="s">
        <v>74</v>
      </c>
      <c r="D103" t="s">
        <v>72</v>
      </c>
    </row>
    <row r="104" spans="1:4" x14ac:dyDescent="0.25">
      <c r="A104" s="10" t="s">
        <v>208</v>
      </c>
      <c r="B104" s="10" t="s">
        <v>207</v>
      </c>
      <c r="C104" s="10" t="s">
        <v>42</v>
      </c>
      <c r="D104" s="10" t="s">
        <v>40</v>
      </c>
    </row>
    <row r="105" spans="1:4" x14ac:dyDescent="0.25">
      <c r="A105" t="s">
        <v>100</v>
      </c>
      <c r="B105" t="s">
        <v>99</v>
      </c>
      <c r="C105" t="s">
        <v>98</v>
      </c>
      <c r="D105" t="s">
        <v>49</v>
      </c>
    </row>
    <row r="106" spans="1:4" x14ac:dyDescent="0.25">
      <c r="A106" s="10" t="s">
        <v>292</v>
      </c>
      <c r="B106" s="10" t="s">
        <v>291</v>
      </c>
      <c r="C106" s="10" t="s">
        <v>21</v>
      </c>
      <c r="D106" s="10" t="s">
        <v>19</v>
      </c>
    </row>
    <row r="107" spans="1:4" x14ac:dyDescent="0.25">
      <c r="A107" t="s">
        <v>260</v>
      </c>
      <c r="B107" t="s">
        <v>259</v>
      </c>
      <c r="C107" t="s">
        <v>42</v>
      </c>
      <c r="D107" t="s">
        <v>40</v>
      </c>
    </row>
    <row r="108" spans="1:4" x14ac:dyDescent="0.25">
      <c r="A108" s="10" t="s">
        <v>174</v>
      </c>
      <c r="B108" s="10" t="s">
        <v>173</v>
      </c>
      <c r="C108" s="10" t="s">
        <v>69</v>
      </c>
      <c r="D108" s="10" t="s">
        <v>67</v>
      </c>
    </row>
    <row r="109" spans="1:4" x14ac:dyDescent="0.25">
      <c r="A109" t="s">
        <v>258</v>
      </c>
      <c r="B109" t="s">
        <v>257</v>
      </c>
      <c r="C109" t="s">
        <v>74</v>
      </c>
      <c r="D109" t="s">
        <v>72</v>
      </c>
    </row>
    <row r="110" spans="1:4" x14ac:dyDescent="0.25">
      <c r="A110" s="10" t="s">
        <v>97</v>
      </c>
      <c r="B110" s="10" t="s">
        <v>96</v>
      </c>
      <c r="C110" s="10" t="s">
        <v>54</v>
      </c>
      <c r="D110" s="10" t="s">
        <v>52</v>
      </c>
    </row>
    <row r="111" spans="1:4" x14ac:dyDescent="0.25">
      <c r="A111" t="s">
        <v>206</v>
      </c>
      <c r="B111" t="s">
        <v>205</v>
      </c>
      <c r="C111" t="s">
        <v>74</v>
      </c>
      <c r="D111" t="s">
        <v>72</v>
      </c>
    </row>
    <row r="112" spans="1:4" x14ac:dyDescent="0.25">
      <c r="A112" s="10" t="s">
        <v>85</v>
      </c>
      <c r="B112" s="10" t="s">
        <v>84</v>
      </c>
      <c r="C112" s="10" t="s">
        <v>69</v>
      </c>
      <c r="D112" s="10" t="s">
        <v>67</v>
      </c>
    </row>
    <row r="113" spans="1:4" x14ac:dyDescent="0.25">
      <c r="A113" t="s">
        <v>268</v>
      </c>
      <c r="B113" t="s">
        <v>267</v>
      </c>
      <c r="C113" t="s">
        <v>21</v>
      </c>
      <c r="D113" t="s">
        <v>19</v>
      </c>
    </row>
    <row r="114" spans="1:4" x14ac:dyDescent="0.25">
      <c r="A114" s="10" t="s">
        <v>294</v>
      </c>
      <c r="B114" s="10" t="s">
        <v>293</v>
      </c>
      <c r="C114" s="10" t="s">
        <v>21</v>
      </c>
      <c r="D114" s="10" t="s">
        <v>19</v>
      </c>
    </row>
    <row r="115" spans="1:4" x14ac:dyDescent="0.25">
      <c r="A115" t="s">
        <v>278</v>
      </c>
      <c r="B115" t="s">
        <v>277</v>
      </c>
      <c r="C115" t="s">
        <v>39</v>
      </c>
      <c r="D115" t="s">
        <v>37</v>
      </c>
    </row>
    <row r="116" spans="1:4" x14ac:dyDescent="0.25">
      <c r="A116" s="10" t="s">
        <v>192</v>
      </c>
      <c r="B116" s="10" t="s">
        <v>191</v>
      </c>
      <c r="C116" s="10" t="s">
        <v>74</v>
      </c>
      <c r="D116" s="10" t="s">
        <v>72</v>
      </c>
    </row>
    <row r="117" spans="1:4" x14ac:dyDescent="0.25">
      <c r="A117" s="3" t="s">
        <v>631</v>
      </c>
      <c r="B117" s="3" t="s">
        <v>331</v>
      </c>
      <c r="C117" s="3" t="s">
        <v>63</v>
      </c>
      <c r="D117" s="3" t="s">
        <v>61</v>
      </c>
    </row>
    <row r="118" spans="1:4" x14ac:dyDescent="0.25">
      <c r="A118" t="s">
        <v>116</v>
      </c>
      <c r="B118" t="s">
        <v>115</v>
      </c>
      <c r="C118" t="s">
        <v>74</v>
      </c>
      <c r="D118" t="s">
        <v>72</v>
      </c>
    </row>
    <row r="119" spans="1:4" x14ac:dyDescent="0.25">
      <c r="A119" s="10" t="s">
        <v>306</v>
      </c>
      <c r="B119" s="10" t="s">
        <v>305</v>
      </c>
      <c r="C119" s="10" t="s">
        <v>18</v>
      </c>
      <c r="D119" s="10" t="s">
        <v>16</v>
      </c>
    </row>
    <row r="120" spans="1:4" x14ac:dyDescent="0.25">
      <c r="A120" t="s">
        <v>298</v>
      </c>
      <c r="B120" t="s">
        <v>297</v>
      </c>
      <c r="C120" t="s">
        <v>27</v>
      </c>
      <c r="D120" t="s">
        <v>25</v>
      </c>
    </row>
    <row r="121" spans="1:4" x14ac:dyDescent="0.25">
      <c r="A121" s="10" t="s">
        <v>166</v>
      </c>
      <c r="B121" s="10" t="s">
        <v>165</v>
      </c>
      <c r="C121" s="10" t="s">
        <v>24</v>
      </c>
      <c r="D121" s="10" t="s">
        <v>22</v>
      </c>
    </row>
    <row r="122" spans="1:4" x14ac:dyDescent="0.25">
      <c r="A122" s="10" t="s">
        <v>118</v>
      </c>
      <c r="B122" s="10" t="s">
        <v>117</v>
      </c>
      <c r="C122" s="10" t="s">
        <v>18</v>
      </c>
      <c r="D122" s="10" t="s">
        <v>16</v>
      </c>
    </row>
    <row r="123" spans="1:4" x14ac:dyDescent="0.25">
      <c r="A123" t="s">
        <v>304</v>
      </c>
      <c r="B123" t="s">
        <v>303</v>
      </c>
      <c r="C123" t="s">
        <v>74</v>
      </c>
      <c r="D123" t="s">
        <v>72</v>
      </c>
    </row>
    <row r="124" spans="1:4" x14ac:dyDescent="0.25">
      <c r="A124" s="10" t="s">
        <v>256</v>
      </c>
      <c r="B124" s="10" t="s">
        <v>255</v>
      </c>
      <c r="C124" s="10" t="s">
        <v>30</v>
      </c>
      <c r="D124" s="10" t="s">
        <v>28</v>
      </c>
    </row>
    <row r="125" spans="1:4" x14ac:dyDescent="0.25">
      <c r="A125" t="s">
        <v>212</v>
      </c>
      <c r="B125" t="s">
        <v>211</v>
      </c>
      <c r="C125" t="s">
        <v>74</v>
      </c>
      <c r="D125" t="s">
        <v>72</v>
      </c>
    </row>
    <row r="126" spans="1:4" x14ac:dyDescent="0.25">
      <c r="A126" s="10" t="s">
        <v>95</v>
      </c>
      <c r="B126" s="10" t="s">
        <v>94</v>
      </c>
      <c r="C126" s="10" t="s">
        <v>54</v>
      </c>
      <c r="D126" s="10" t="s">
        <v>52</v>
      </c>
    </row>
    <row r="127" spans="1:4" x14ac:dyDescent="0.25">
      <c r="A127" s="30" t="s">
        <v>130</v>
      </c>
      <c r="B127" s="30" t="s">
        <v>129</v>
      </c>
      <c r="C127" s="30" t="s">
        <v>33</v>
      </c>
      <c r="D127" s="30" t="s">
        <v>31</v>
      </c>
    </row>
  </sheetData>
  <sortState xmlns:xlrd2="http://schemas.microsoft.com/office/spreadsheetml/2017/richdata2" ref="A2:D127">
    <sortCondition ref="A2:A1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autoPageBreaks="0"/>
  </sheetPr>
  <dimension ref="A1:B28"/>
  <sheetViews>
    <sheetView workbookViewId="0">
      <selection activeCell="E17" sqref="E17"/>
    </sheetView>
  </sheetViews>
  <sheetFormatPr defaultRowHeight="15" x14ac:dyDescent="0.25"/>
  <cols>
    <col min="1" max="1" width="39.5703125" bestFit="1" customWidth="1"/>
    <col min="2" max="2" width="18.5703125" bestFit="1" customWidth="1"/>
  </cols>
  <sheetData>
    <row r="1" spans="1:2" x14ac:dyDescent="0.25">
      <c r="A1" t="s">
        <v>370</v>
      </c>
    </row>
    <row r="3" spans="1:2" x14ac:dyDescent="0.25">
      <c r="A3" s="15" t="s">
        <v>365</v>
      </c>
      <c r="B3" t="s">
        <v>369</v>
      </c>
    </row>
    <row r="4" spans="1:2" x14ac:dyDescent="0.25">
      <c r="A4" s="16" t="s">
        <v>18</v>
      </c>
      <c r="B4">
        <v>10</v>
      </c>
    </row>
    <row r="5" spans="1:2" x14ac:dyDescent="0.25">
      <c r="A5" s="16" t="s">
        <v>21</v>
      </c>
      <c r="B5">
        <v>8</v>
      </c>
    </row>
    <row r="6" spans="1:2" x14ac:dyDescent="0.25">
      <c r="A6" s="16" t="s">
        <v>24</v>
      </c>
      <c r="B6">
        <v>8</v>
      </c>
    </row>
    <row r="7" spans="1:2" x14ac:dyDescent="0.25">
      <c r="A7" s="16" t="s">
        <v>27</v>
      </c>
      <c r="B7">
        <v>6</v>
      </c>
    </row>
    <row r="8" spans="1:2" x14ac:dyDescent="0.25">
      <c r="A8" s="16" t="s">
        <v>30</v>
      </c>
      <c r="B8">
        <v>7</v>
      </c>
    </row>
    <row r="9" spans="1:2" x14ac:dyDescent="0.25">
      <c r="A9" s="16" t="s">
        <v>33</v>
      </c>
      <c r="B9">
        <v>4</v>
      </c>
    </row>
    <row r="10" spans="1:2" x14ac:dyDescent="0.25">
      <c r="A10" s="16" t="s">
        <v>36</v>
      </c>
      <c r="B10">
        <v>4</v>
      </c>
    </row>
    <row r="11" spans="1:2" x14ac:dyDescent="0.25">
      <c r="A11" s="16" t="s">
        <v>39</v>
      </c>
      <c r="B11">
        <v>4</v>
      </c>
    </row>
    <row r="12" spans="1:2" x14ac:dyDescent="0.25">
      <c r="A12" s="16" t="s">
        <v>42</v>
      </c>
      <c r="B12">
        <v>4</v>
      </c>
    </row>
    <row r="13" spans="1:2" x14ac:dyDescent="0.25">
      <c r="A13" s="16" t="s">
        <v>45</v>
      </c>
      <c r="B13">
        <v>3</v>
      </c>
    </row>
    <row r="14" spans="1:2" x14ac:dyDescent="0.25">
      <c r="A14" s="16" t="s">
        <v>48</v>
      </c>
      <c r="B14">
        <v>8</v>
      </c>
    </row>
    <row r="15" spans="1:2" x14ac:dyDescent="0.25">
      <c r="A15" s="16" t="s">
        <v>98</v>
      </c>
      <c r="B15">
        <v>4</v>
      </c>
    </row>
    <row r="16" spans="1:2" x14ac:dyDescent="0.25">
      <c r="A16" s="16" t="s">
        <v>512</v>
      </c>
      <c r="B16">
        <v>9</v>
      </c>
    </row>
    <row r="17" spans="1:2" x14ac:dyDescent="0.25">
      <c r="A17" s="16" t="s">
        <v>54</v>
      </c>
      <c r="B17">
        <v>8</v>
      </c>
    </row>
    <row r="18" spans="1:2" x14ac:dyDescent="0.25">
      <c r="A18" s="16" t="s">
        <v>57</v>
      </c>
      <c r="B18">
        <v>3</v>
      </c>
    </row>
    <row r="19" spans="1:2" x14ac:dyDescent="0.25">
      <c r="A19" s="16" t="s">
        <v>60</v>
      </c>
      <c r="B19">
        <v>4</v>
      </c>
    </row>
    <row r="20" spans="1:2" x14ac:dyDescent="0.25">
      <c r="A20" s="16" t="s">
        <v>63</v>
      </c>
      <c r="B20">
        <v>6</v>
      </c>
    </row>
    <row r="21" spans="1:2" x14ac:dyDescent="0.25">
      <c r="A21" s="16" t="s">
        <v>66</v>
      </c>
      <c r="B21">
        <v>3</v>
      </c>
    </row>
    <row r="22" spans="1:2" x14ac:dyDescent="0.25">
      <c r="A22" s="16" t="s">
        <v>69</v>
      </c>
      <c r="B22">
        <v>6</v>
      </c>
    </row>
    <row r="23" spans="1:2" x14ac:dyDescent="0.25">
      <c r="A23" s="40" t="s">
        <v>74</v>
      </c>
      <c r="B23" s="3">
        <v>12</v>
      </c>
    </row>
    <row r="24" spans="1:2" x14ac:dyDescent="0.25">
      <c r="A24" s="16" t="s">
        <v>77</v>
      </c>
      <c r="B24">
        <v>5</v>
      </c>
    </row>
    <row r="25" spans="1:2" x14ac:dyDescent="0.25">
      <c r="A25" s="16" t="s">
        <v>368</v>
      </c>
      <c r="B25">
        <v>126</v>
      </c>
    </row>
    <row r="27" spans="1:2" x14ac:dyDescent="0.25">
      <c r="A27" s="16" t="s">
        <v>464</v>
      </c>
      <c r="B27">
        <f>MAX(B4:B24)</f>
        <v>12</v>
      </c>
    </row>
    <row r="28" spans="1:2" x14ac:dyDescent="0.25">
      <c r="A28" s="1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sheetPr>
  <dimension ref="A1:T127"/>
  <sheetViews>
    <sheetView workbookViewId="0">
      <pane xSplit="4" ySplit="1" topLeftCell="P2" activePane="bottomRight" state="frozen"/>
      <selection activeCell="E17" sqref="E17"/>
      <selection pane="topRight" activeCell="E17" sqref="E17"/>
      <selection pane="bottomLeft" activeCell="E17" sqref="E17"/>
      <selection pane="bottomRight" activeCell="E17" sqref="E17"/>
    </sheetView>
  </sheetViews>
  <sheetFormatPr defaultRowHeight="15" x14ac:dyDescent="0.25"/>
  <cols>
    <col min="1" max="1" width="61" bestFit="1" customWidth="1"/>
    <col min="2" max="2" width="12.5703125" customWidth="1"/>
    <col min="3" max="3" width="41.42578125" bestFit="1" customWidth="1"/>
    <col min="4" max="4" width="15.28515625" customWidth="1"/>
    <col min="5" max="5" width="4.28515625" customWidth="1"/>
    <col min="6" max="6" width="5.28515625" bestFit="1" customWidth="1"/>
    <col min="7" max="7" width="9.85546875" style="4" bestFit="1" customWidth="1"/>
    <col min="8" max="8" width="7.28515625" style="4" customWidth="1"/>
    <col min="9" max="9" width="10.42578125" style="4" bestFit="1" customWidth="1"/>
    <col min="10" max="10" width="11.42578125" style="4" bestFit="1" customWidth="1"/>
    <col min="11" max="11" width="9.42578125" style="4" bestFit="1" customWidth="1"/>
    <col min="12" max="12" width="9.7109375" style="4" bestFit="1" customWidth="1"/>
    <col min="13" max="13" width="8.28515625" style="4" bestFit="1" customWidth="1"/>
    <col min="14" max="14" width="12.28515625" style="4" bestFit="1" customWidth="1"/>
    <col min="15" max="15" width="8.28515625" style="4" bestFit="1" customWidth="1"/>
    <col min="16" max="16" width="8.28515625" style="4" customWidth="1"/>
    <col min="17" max="17" width="12.7109375" customWidth="1"/>
    <col min="18" max="19" width="30.5703125" style="4" customWidth="1"/>
    <col min="20" max="20" width="28" customWidth="1"/>
  </cols>
  <sheetData>
    <row r="1" spans="1:20" x14ac:dyDescent="0.25">
      <c r="A1" s="11" t="s">
        <v>79</v>
      </c>
      <c r="B1" s="11" t="s">
        <v>78</v>
      </c>
      <c r="C1" s="11" t="s">
        <v>2</v>
      </c>
      <c r="D1" s="11" t="s">
        <v>1</v>
      </c>
      <c r="E1" s="63" t="s">
        <v>3</v>
      </c>
      <c r="F1" s="63" t="s">
        <v>636</v>
      </c>
      <c r="G1" s="63" t="s">
        <v>399</v>
      </c>
      <c r="H1" s="63" t="s">
        <v>400</v>
      </c>
      <c r="I1" s="63" t="s">
        <v>401</v>
      </c>
      <c r="J1" s="63" t="s">
        <v>632</v>
      </c>
      <c r="K1" s="63" t="s">
        <v>402</v>
      </c>
      <c r="L1" s="63" t="s">
        <v>403</v>
      </c>
      <c r="M1" s="63" t="s">
        <v>404</v>
      </c>
      <c r="N1" s="63" t="s">
        <v>405</v>
      </c>
      <c r="O1" s="63" t="s">
        <v>12</v>
      </c>
      <c r="P1" s="63" t="s">
        <v>406</v>
      </c>
      <c r="Q1" s="32" t="s">
        <v>521</v>
      </c>
      <c r="R1" s="32" t="s">
        <v>462</v>
      </c>
      <c r="S1" s="32" t="s">
        <v>463</v>
      </c>
      <c r="T1" s="11" t="s">
        <v>467</v>
      </c>
    </row>
    <row r="2" spans="1:20" x14ac:dyDescent="0.25">
      <c r="A2" s="12" t="s">
        <v>134</v>
      </c>
      <c r="B2" s="12" t="s">
        <v>133</v>
      </c>
      <c r="C2" s="12" t="s">
        <v>77</v>
      </c>
      <c r="D2" s="12" t="s">
        <v>75</v>
      </c>
      <c r="E2" s="127">
        <v>129</v>
      </c>
      <c r="F2" s="127">
        <v>79</v>
      </c>
      <c r="G2" s="127">
        <v>96.124031066894531</v>
      </c>
      <c r="H2" s="127">
        <v>96.124031066894531</v>
      </c>
      <c r="I2" s="127">
        <v>96.899223327636719</v>
      </c>
      <c r="J2" s="127">
        <v>100</v>
      </c>
      <c r="K2" s="127">
        <v>93.798446655273438</v>
      </c>
      <c r="L2" s="127">
        <v>96.899223327636719</v>
      </c>
      <c r="M2" s="127">
        <v>100</v>
      </c>
      <c r="N2" s="127">
        <v>97.674415588378906</v>
      </c>
      <c r="O2" s="127">
        <v>84.496124267578125</v>
      </c>
      <c r="P2" s="127">
        <v>74.418601989746094</v>
      </c>
      <c r="Q2" s="12"/>
      <c r="R2" s="33" cm="1">
        <f t="array" ref="R2">INDEX(trust_data_quality!$A$2:$P$127,(ROW()-ROW(trust_data_quality!$A$1:$P$1)),MATCH(selected_dq_name,trust_data_quality!$A$1:$P$1,0))</f>
        <v>96.899223327636719</v>
      </c>
      <c r="S2" s="33">
        <f>RANK(R2,R:R,1)+COUNTIF($R$2:R2,R2)-1</f>
        <v>90</v>
      </c>
      <c r="T2" s="12">
        <f t="shared" ref="T2:T33" si="0">selected_dq_target</f>
        <v>0.9</v>
      </c>
    </row>
    <row r="3" spans="1:20" x14ac:dyDescent="0.25">
      <c r="A3" t="s">
        <v>272</v>
      </c>
      <c r="B3" t="s">
        <v>271</v>
      </c>
      <c r="C3" t="s">
        <v>63</v>
      </c>
      <c r="D3" t="s">
        <v>61</v>
      </c>
      <c r="E3" s="127">
        <v>167</v>
      </c>
      <c r="F3" s="127">
        <v>81</v>
      </c>
      <c r="G3" s="127">
        <v>64.670661926269531</v>
      </c>
      <c r="H3" s="127">
        <v>80.838325500488281</v>
      </c>
      <c r="I3" s="127">
        <v>52.095809936523438</v>
      </c>
      <c r="J3" s="127">
        <v>100</v>
      </c>
      <c r="K3" s="127">
        <v>94.011978149414063</v>
      </c>
      <c r="L3" s="127">
        <v>92.814369201660156</v>
      </c>
      <c r="M3" s="127">
        <v>100</v>
      </c>
      <c r="N3" s="127">
        <v>94.011978149414063</v>
      </c>
      <c r="O3" s="127">
        <v>47.904190063476563</v>
      </c>
      <c r="P3" s="127">
        <v>3.5928144454956055</v>
      </c>
      <c r="R3" s="33" cm="1">
        <f t="array" ref="R3">INDEX(trust_data_quality!$A$2:$P$127,(ROW()-ROW(trust_data_quality!$A$1:$P$1)),MATCH(selected_dq_name,trust_data_quality!$A$1:$P$1,0))</f>
        <v>92.814369201660156</v>
      </c>
      <c r="S3" s="33">
        <f>RANK(R3,R:R,1)+COUNTIF($R$2:R3,R3)-1</f>
        <v>45</v>
      </c>
      <c r="T3">
        <f t="shared" si="0"/>
        <v>0.9</v>
      </c>
    </row>
    <row r="4" spans="1:20" x14ac:dyDescent="0.25">
      <c r="A4" s="10" t="s">
        <v>152</v>
      </c>
      <c r="B4" s="10" t="s">
        <v>151</v>
      </c>
      <c r="C4" s="10" t="s">
        <v>45</v>
      </c>
      <c r="D4" s="10" t="s">
        <v>43</v>
      </c>
      <c r="E4" s="127">
        <v>260</v>
      </c>
      <c r="F4" s="127">
        <v>180</v>
      </c>
      <c r="G4" s="127">
        <v>90</v>
      </c>
      <c r="H4" s="127">
        <v>78.461540222167969</v>
      </c>
      <c r="I4" s="127">
        <v>70.384613037109375</v>
      </c>
      <c r="J4" s="127">
        <v>98.888885498046875</v>
      </c>
      <c r="K4" s="127">
        <v>99.615386962890625</v>
      </c>
      <c r="L4" s="127">
        <v>96.153846740722656</v>
      </c>
      <c r="M4" s="127">
        <v>100</v>
      </c>
      <c r="N4" s="127">
        <v>98.846153259277344</v>
      </c>
      <c r="O4" s="127">
        <v>41.153846740722656</v>
      </c>
      <c r="P4" s="127">
        <v>63.846153259277344</v>
      </c>
      <c r="Q4" s="10"/>
      <c r="R4" s="33" cm="1">
        <f t="array" ref="R4">INDEX(trust_data_quality!$A$2:$P$127,(ROW()-ROW(trust_data_quality!$A$1:$P$1)),MATCH(selected_dq_name,trust_data_quality!$A$1:$P$1,0))</f>
        <v>96.153846740722656</v>
      </c>
      <c r="S4" s="33">
        <f>RANK(R4,R:R,1)+COUNTIF($R$2:R4,R4)-1</f>
        <v>80</v>
      </c>
      <c r="T4" s="10">
        <f t="shared" si="0"/>
        <v>0.9</v>
      </c>
    </row>
    <row r="5" spans="1:20" x14ac:dyDescent="0.25">
      <c r="A5" t="s">
        <v>154</v>
      </c>
      <c r="B5" t="s">
        <v>153</v>
      </c>
      <c r="C5" t="s">
        <v>60</v>
      </c>
      <c r="D5" t="s">
        <v>58</v>
      </c>
      <c r="E5" s="127">
        <v>208</v>
      </c>
      <c r="F5" s="127">
        <v>135</v>
      </c>
      <c r="G5" s="127">
        <v>96.634613037109375</v>
      </c>
      <c r="H5" s="127">
        <v>96.153846740722656</v>
      </c>
      <c r="I5" s="127">
        <v>65.384613037109375</v>
      </c>
      <c r="J5" s="127">
        <v>100</v>
      </c>
      <c r="K5" s="127">
        <v>93.75</v>
      </c>
      <c r="L5" s="127">
        <v>96.153846740722656</v>
      </c>
      <c r="M5" s="127">
        <v>100</v>
      </c>
      <c r="N5" s="127">
        <v>98.076919555664063</v>
      </c>
      <c r="O5" s="127">
        <v>66.826919555664063</v>
      </c>
      <c r="P5" s="127">
        <v>9.1346149444580078</v>
      </c>
      <c r="R5" s="33" cm="1">
        <f t="array" ref="R5">INDEX(trust_data_quality!$A$2:$P$127,(ROW()-ROW(trust_data_quality!$A$1:$P$1)),MATCH(selected_dq_name,trust_data_quality!$A$1:$P$1,0))</f>
        <v>96.153846740722656</v>
      </c>
      <c r="S5" s="33">
        <f>RANK(R5,R:R,1)+COUNTIF($R$2:R5,R5)-1</f>
        <v>81</v>
      </c>
      <c r="T5">
        <f t="shared" si="0"/>
        <v>0.9</v>
      </c>
    </row>
    <row r="6" spans="1:20" x14ac:dyDescent="0.25">
      <c r="A6" s="10" t="s">
        <v>89</v>
      </c>
      <c r="B6" s="10" t="s">
        <v>88</v>
      </c>
      <c r="C6" s="10" t="s">
        <v>45</v>
      </c>
      <c r="D6" s="10" t="s">
        <v>43</v>
      </c>
      <c r="E6" s="127">
        <v>432</v>
      </c>
      <c r="F6" s="127">
        <v>227</v>
      </c>
      <c r="G6" s="127">
        <v>91.898147583007813</v>
      </c>
      <c r="H6" s="127">
        <v>36.574073791503906</v>
      </c>
      <c r="I6" s="127">
        <v>78.009262084960938</v>
      </c>
      <c r="J6" s="127">
        <v>96.916297912597656</v>
      </c>
      <c r="K6" s="127">
        <v>95.370368957519531</v>
      </c>
      <c r="L6" s="127">
        <v>79.629631042480469</v>
      </c>
      <c r="M6" s="127">
        <v>100</v>
      </c>
      <c r="N6" s="127">
        <v>98.84259033203125</v>
      </c>
      <c r="O6" s="127">
        <v>57.870368957519531</v>
      </c>
      <c r="P6" s="127">
        <v>34.259258270263672</v>
      </c>
      <c r="Q6" s="10"/>
      <c r="R6" s="33" cm="1">
        <f t="array" ref="R6">INDEX(trust_data_quality!$A$2:$P$127,(ROW()-ROW(trust_data_quality!$A$1:$P$1)),MATCH(selected_dq_name,trust_data_quality!$A$1:$P$1,0))</f>
        <v>79.629631042480469</v>
      </c>
      <c r="S6" s="33">
        <f>RANK(R6,R:R,1)+COUNTIF($R$2:R6,R6)-1</f>
        <v>14</v>
      </c>
      <c r="T6" s="10">
        <f t="shared" si="0"/>
        <v>0.9</v>
      </c>
    </row>
    <row r="7" spans="1:20" x14ac:dyDescent="0.25">
      <c r="A7" t="s">
        <v>128</v>
      </c>
      <c r="B7" t="s">
        <v>127</v>
      </c>
      <c r="C7" t="s">
        <v>27</v>
      </c>
      <c r="D7" t="s">
        <v>25</v>
      </c>
      <c r="E7" s="127">
        <v>264</v>
      </c>
      <c r="F7" s="127">
        <v>131</v>
      </c>
      <c r="G7" s="127">
        <v>88.257575988769531</v>
      </c>
      <c r="H7" s="127">
        <v>79.166664123535156</v>
      </c>
      <c r="I7" s="127">
        <v>63.257575988769531</v>
      </c>
      <c r="J7" s="127">
        <v>96.183204650878906</v>
      </c>
      <c r="K7" s="127">
        <v>96.212120056152344</v>
      </c>
      <c r="L7" s="127">
        <v>90.530303955078125</v>
      </c>
      <c r="M7" s="127">
        <v>100</v>
      </c>
      <c r="N7" s="127">
        <v>97.727272033691406</v>
      </c>
      <c r="O7" s="127">
        <v>64.772727966308594</v>
      </c>
      <c r="P7" s="127">
        <v>63.257575988769531</v>
      </c>
      <c r="R7" s="33" cm="1">
        <f t="array" ref="R7">INDEX(trust_data_quality!$A$2:$P$127,(ROW()-ROW(trust_data_quality!$A$1:$P$1)),MATCH(selected_dq_name,trust_data_quality!$A$1:$P$1,0))</f>
        <v>90.530303955078125</v>
      </c>
      <c r="S7" s="33">
        <f>RANK(R7,R:R,1)+COUNTIF($R$2:R7,R7)-1</f>
        <v>33</v>
      </c>
      <c r="T7">
        <f t="shared" si="0"/>
        <v>0.9</v>
      </c>
    </row>
    <row r="8" spans="1:20" x14ac:dyDescent="0.25">
      <c r="A8" s="10" t="s">
        <v>318</v>
      </c>
      <c r="B8" s="10" t="s">
        <v>317</v>
      </c>
      <c r="C8" s="10" t="s">
        <v>39</v>
      </c>
      <c r="D8" s="10" t="s">
        <v>37</v>
      </c>
      <c r="E8" s="127">
        <v>348</v>
      </c>
      <c r="F8" s="127">
        <v>243</v>
      </c>
      <c r="G8" s="127">
        <v>77.873565673828125</v>
      </c>
      <c r="H8" s="127">
        <v>77.011497497558594</v>
      </c>
      <c r="I8" s="127">
        <v>68.39080810546875</v>
      </c>
      <c r="J8" s="127">
        <v>97.530860900878906</v>
      </c>
      <c r="K8" s="127">
        <v>98.850578308105469</v>
      </c>
      <c r="L8" s="127">
        <v>93.39080810546875</v>
      </c>
      <c r="M8" s="127">
        <v>100</v>
      </c>
      <c r="N8" s="127">
        <v>97.126434326171875</v>
      </c>
      <c r="O8" s="127">
        <v>47.701148986816406</v>
      </c>
      <c r="P8" s="127">
        <v>13.218390464782715</v>
      </c>
      <c r="Q8" s="10"/>
      <c r="R8" s="33" cm="1">
        <f t="array" ref="R8">INDEX(trust_data_quality!$A$2:$P$127,(ROW()-ROW(trust_data_quality!$A$1:$P$1)),MATCH(selected_dq_name,trust_data_quality!$A$1:$P$1,0))</f>
        <v>93.39080810546875</v>
      </c>
      <c r="S8" s="33">
        <f>RANK(R8,R:R,1)+COUNTIF($R$2:R8,R8)-1</f>
        <v>53</v>
      </c>
      <c r="T8" s="10">
        <f t="shared" si="0"/>
        <v>0.9</v>
      </c>
    </row>
    <row r="9" spans="1:20" x14ac:dyDescent="0.25">
      <c r="A9" t="s">
        <v>220</v>
      </c>
      <c r="B9" t="s">
        <v>219</v>
      </c>
      <c r="C9" t="s">
        <v>30</v>
      </c>
      <c r="D9" t="s">
        <v>28</v>
      </c>
      <c r="E9" s="127">
        <v>224</v>
      </c>
      <c r="F9" s="127">
        <v>127</v>
      </c>
      <c r="G9" s="127">
        <v>76.339286804199219</v>
      </c>
      <c r="H9" s="127">
        <v>87.053573608398438</v>
      </c>
      <c r="I9" s="127">
        <v>59.821430206298828</v>
      </c>
      <c r="J9" s="127">
        <v>98.425193786621094</v>
      </c>
      <c r="K9" s="127">
        <v>99.553573608398438</v>
      </c>
      <c r="L9" s="127">
        <v>93.303573608398438</v>
      </c>
      <c r="M9" s="127">
        <v>100</v>
      </c>
      <c r="N9" s="127">
        <v>96.428573608398438</v>
      </c>
      <c r="O9" s="127">
        <v>67.857139587402344</v>
      </c>
      <c r="P9" s="127">
        <v>32.589286804199219</v>
      </c>
      <c r="R9" s="33" cm="1">
        <f t="array" ref="R9">INDEX(trust_data_quality!$A$2:$P$127,(ROW()-ROW(trust_data_quality!$A$1:$P$1)),MATCH(selected_dq_name,trust_data_quality!$A$1:$P$1,0))</f>
        <v>93.303573608398438</v>
      </c>
      <c r="S9" s="33">
        <f>RANK(R9,R:R,1)+COUNTIF($R$2:R9,R9)-1</f>
        <v>50</v>
      </c>
      <c r="T9">
        <f t="shared" si="0"/>
        <v>0.9</v>
      </c>
    </row>
    <row r="10" spans="1:20" x14ac:dyDescent="0.25">
      <c r="A10" s="10" t="s">
        <v>102</v>
      </c>
      <c r="B10" s="10" t="s">
        <v>101</v>
      </c>
      <c r="C10" s="10" t="s">
        <v>77</v>
      </c>
      <c r="D10" s="10" t="s">
        <v>75</v>
      </c>
      <c r="E10" s="127">
        <v>245</v>
      </c>
      <c r="F10" s="127">
        <v>172</v>
      </c>
      <c r="G10" s="127">
        <v>95.102043151855469</v>
      </c>
      <c r="H10" s="127">
        <v>87.346939086914063</v>
      </c>
      <c r="I10" s="127">
        <v>98.367347717285156</v>
      </c>
      <c r="J10" s="127">
        <v>100</v>
      </c>
      <c r="K10" s="127">
        <v>94.285713195800781</v>
      </c>
      <c r="L10" s="127">
        <v>97.959182739257813</v>
      </c>
      <c r="M10" s="127">
        <v>100</v>
      </c>
      <c r="N10" s="127">
        <v>99.183670043945313</v>
      </c>
      <c r="O10" s="127">
        <v>80.408164978027344</v>
      </c>
      <c r="P10" s="127">
        <v>53.061225891113281</v>
      </c>
      <c r="Q10" s="10"/>
      <c r="R10" s="33" cm="1">
        <f t="array" ref="R10">INDEX(trust_data_quality!$A$2:$P$127,(ROW()-ROW(trust_data_quality!$A$1:$P$1)),MATCH(selected_dq_name,trust_data_quality!$A$1:$P$1,0))</f>
        <v>97.959182739257813</v>
      </c>
      <c r="S10" s="33">
        <f>RANK(R10,R:R,1)+COUNTIF($R$2:R10,R10)-1</f>
        <v>107</v>
      </c>
      <c r="T10" s="10">
        <f t="shared" si="0"/>
        <v>0.9</v>
      </c>
    </row>
    <row r="11" spans="1:20" x14ac:dyDescent="0.25">
      <c r="A11" t="s">
        <v>324</v>
      </c>
      <c r="B11" t="s">
        <v>323</v>
      </c>
      <c r="C11" t="s">
        <v>66</v>
      </c>
      <c r="D11" t="s">
        <v>64</v>
      </c>
      <c r="E11" s="127">
        <v>194</v>
      </c>
      <c r="F11" s="127">
        <v>155</v>
      </c>
      <c r="G11" s="127">
        <v>84.536079406738281</v>
      </c>
      <c r="H11" s="127">
        <v>74.742271423339844</v>
      </c>
      <c r="I11" s="127">
        <v>94.845359802246094</v>
      </c>
      <c r="J11" s="127">
        <v>100</v>
      </c>
      <c r="K11" s="127">
        <v>99.484535217285156</v>
      </c>
      <c r="L11" s="127">
        <v>94.32989501953125</v>
      </c>
      <c r="M11" s="127">
        <v>100</v>
      </c>
      <c r="N11" s="127">
        <v>98.453605651855469</v>
      </c>
      <c r="O11" s="127">
        <v>70.103096008300781</v>
      </c>
      <c r="P11" s="127">
        <v>64.948455810546875</v>
      </c>
      <c r="R11" s="33" cm="1">
        <f t="array" ref="R11">INDEX(trust_data_quality!$A$2:$P$127,(ROW()-ROW(trust_data_quality!$A$1:$P$1)),MATCH(selected_dq_name,trust_data_quality!$A$1:$P$1,0))</f>
        <v>94.32989501953125</v>
      </c>
      <c r="S11" s="33">
        <f>RANK(R11,R:R,1)+COUNTIF($R$2:R11,R11)-1</f>
        <v>59</v>
      </c>
      <c r="T11">
        <f t="shared" si="0"/>
        <v>0.9</v>
      </c>
    </row>
    <row r="12" spans="1:20" x14ac:dyDescent="0.25">
      <c r="A12" s="10" t="s">
        <v>308</v>
      </c>
      <c r="B12" s="10" t="s">
        <v>307</v>
      </c>
      <c r="C12" s="10" t="s">
        <v>77</v>
      </c>
      <c r="D12" s="10" t="s">
        <v>75</v>
      </c>
      <c r="E12" s="127">
        <v>302</v>
      </c>
      <c r="F12" s="127">
        <v>198</v>
      </c>
      <c r="G12" s="127">
        <v>94.701988220214844</v>
      </c>
      <c r="H12" s="127">
        <v>93.708610534667969</v>
      </c>
      <c r="I12" s="127">
        <v>97.350990295410156</v>
      </c>
      <c r="J12" s="127">
        <v>100</v>
      </c>
      <c r="K12" s="127">
        <v>98.344367980957031</v>
      </c>
      <c r="L12" s="127">
        <v>97.350990295410156</v>
      </c>
      <c r="M12" s="127">
        <v>100</v>
      </c>
      <c r="N12" s="127">
        <v>99.668876647949219</v>
      </c>
      <c r="O12" s="127">
        <v>72.185432434082031</v>
      </c>
      <c r="P12" s="127">
        <v>72.847679138183594</v>
      </c>
      <c r="Q12" s="10"/>
      <c r="R12" s="33" cm="1">
        <f t="array" ref="R12">INDEX(trust_data_quality!$A$2:$P$127,(ROW()-ROW(trust_data_quality!$A$1:$P$1)),MATCH(selected_dq_name,trust_data_quality!$A$1:$P$1,0))</f>
        <v>97.350990295410156</v>
      </c>
      <c r="S12" s="33">
        <f>RANK(R12,R:R,1)+COUNTIF($R$2:R12,R12)-1</f>
        <v>95</v>
      </c>
      <c r="T12" s="10">
        <f t="shared" si="0"/>
        <v>0.9</v>
      </c>
    </row>
    <row r="13" spans="1:20" x14ac:dyDescent="0.25">
      <c r="A13" t="s">
        <v>168</v>
      </c>
      <c r="B13" t="s">
        <v>167</v>
      </c>
      <c r="C13" t="s">
        <v>24</v>
      </c>
      <c r="D13" t="s">
        <v>22</v>
      </c>
      <c r="E13" s="127">
        <v>135</v>
      </c>
      <c r="F13" s="127">
        <v>79</v>
      </c>
      <c r="G13" s="127">
        <v>71.851852416992188</v>
      </c>
      <c r="H13" s="127">
        <v>80</v>
      </c>
      <c r="I13" s="127">
        <v>48.888889312744141</v>
      </c>
      <c r="J13" s="127">
        <v>82.278480529785156</v>
      </c>
      <c r="K13" s="127">
        <v>99.259262084960938</v>
      </c>
      <c r="L13" s="127">
        <v>72.59259033203125</v>
      </c>
      <c r="M13" s="127">
        <v>100</v>
      </c>
      <c r="N13" s="127">
        <v>96.296295166015625</v>
      </c>
      <c r="O13" s="127">
        <v>69.629631042480469</v>
      </c>
      <c r="P13" s="127">
        <v>71.851852416992188</v>
      </c>
      <c r="R13" s="33" cm="1">
        <f t="array" ref="R13">INDEX(trust_data_quality!$A$2:$P$127,(ROW()-ROW(trust_data_quality!$A$1:$P$1)),MATCH(selected_dq_name,trust_data_quality!$A$1:$P$1,0))</f>
        <v>72.59259033203125</v>
      </c>
      <c r="S13" s="33">
        <f>RANK(R13,R:R,1)+COUNTIF($R$2:R13,R13)-1</f>
        <v>10</v>
      </c>
      <c r="T13">
        <f t="shared" si="0"/>
        <v>0.9</v>
      </c>
    </row>
    <row r="14" spans="1:20" x14ac:dyDescent="0.25">
      <c r="A14" s="10" t="s">
        <v>246</v>
      </c>
      <c r="B14" s="10" t="s">
        <v>245</v>
      </c>
      <c r="C14" s="10" t="s">
        <v>512</v>
      </c>
      <c r="D14" s="10" t="s">
        <v>70</v>
      </c>
      <c r="E14" s="127">
        <v>202</v>
      </c>
      <c r="F14" s="127">
        <v>134</v>
      </c>
      <c r="G14" s="127">
        <v>94.554458618164063</v>
      </c>
      <c r="H14" s="127">
        <v>87.128715515136719</v>
      </c>
      <c r="I14" s="127">
        <v>69.801979064941406</v>
      </c>
      <c r="J14" s="127">
        <v>100</v>
      </c>
      <c r="K14" s="127">
        <v>98.514854431152344</v>
      </c>
      <c r="L14" s="127">
        <v>96.039604187011719</v>
      </c>
      <c r="M14" s="127">
        <v>100</v>
      </c>
      <c r="N14" s="127">
        <v>94.059402465820313</v>
      </c>
      <c r="O14" s="127">
        <v>35.643566131591797</v>
      </c>
      <c r="P14" s="127">
        <v>7.4257426261901855</v>
      </c>
      <c r="Q14" s="10"/>
      <c r="R14" s="33" cm="1">
        <f t="array" ref="R14">INDEX(trust_data_quality!$A$2:$P$127,(ROW()-ROW(trust_data_quality!$A$1:$P$1)),MATCH(selected_dq_name,trust_data_quality!$A$1:$P$1,0))</f>
        <v>96.039604187011719</v>
      </c>
      <c r="S14" s="33">
        <f>RANK(R14,R:R,1)+COUNTIF($R$2:R14,R14)-1</f>
        <v>79</v>
      </c>
      <c r="T14" s="10">
        <f t="shared" si="0"/>
        <v>0.9</v>
      </c>
    </row>
    <row r="15" spans="1:20" x14ac:dyDescent="0.25">
      <c r="A15" t="s">
        <v>158</v>
      </c>
      <c r="B15" t="s">
        <v>157</v>
      </c>
      <c r="C15" t="s">
        <v>21</v>
      </c>
      <c r="D15" t="s">
        <v>19</v>
      </c>
      <c r="E15" s="127">
        <v>237</v>
      </c>
      <c r="F15" s="127">
        <v>156</v>
      </c>
      <c r="G15" s="127">
        <v>99.156120300292969</v>
      </c>
      <c r="H15" s="127">
        <v>84.810127258300781</v>
      </c>
      <c r="I15" s="127">
        <v>64.978904724121094</v>
      </c>
      <c r="J15" s="127">
        <v>97.435897827148438</v>
      </c>
      <c r="K15" s="127">
        <v>97.890296936035156</v>
      </c>
      <c r="L15" s="127">
        <v>98.734176635742188</v>
      </c>
      <c r="M15" s="127">
        <v>100</v>
      </c>
      <c r="N15" s="127">
        <v>99.156120300292969</v>
      </c>
      <c r="O15" s="127">
        <v>67.932487487792969</v>
      </c>
      <c r="P15" s="127">
        <v>62.869197845458984</v>
      </c>
      <c r="R15" s="33" cm="1">
        <f t="array" ref="R15">INDEX(trust_data_quality!$A$2:$P$127,(ROW()-ROW(trust_data_quality!$A$1:$P$1)),MATCH(selected_dq_name,trust_data_quality!$A$1:$P$1,0))</f>
        <v>98.734176635742188</v>
      </c>
      <c r="S15" s="33">
        <f>RANK(R15,R:R,1)+COUNTIF($R$2:R15,R15)-1</f>
        <v>118</v>
      </c>
      <c r="T15">
        <f t="shared" si="0"/>
        <v>0.9</v>
      </c>
    </row>
    <row r="16" spans="1:20" x14ac:dyDescent="0.25">
      <c r="A16" s="10" t="s">
        <v>198</v>
      </c>
      <c r="B16" s="10" t="s">
        <v>197</v>
      </c>
      <c r="C16" s="10" t="s">
        <v>18</v>
      </c>
      <c r="D16" s="10" t="s">
        <v>16</v>
      </c>
      <c r="E16" s="127">
        <v>122</v>
      </c>
      <c r="F16" s="127">
        <v>67</v>
      </c>
      <c r="G16" s="127">
        <v>97.540985107421875</v>
      </c>
      <c r="H16" s="127">
        <v>95.08197021484375</v>
      </c>
      <c r="I16" s="127">
        <v>62.295082092285156</v>
      </c>
      <c r="J16" s="127">
        <v>98.507461547851563</v>
      </c>
      <c r="K16" s="127">
        <v>100</v>
      </c>
      <c r="L16" s="127">
        <v>97.540985107421875</v>
      </c>
      <c r="M16" s="127">
        <v>100</v>
      </c>
      <c r="N16" s="127">
        <v>100</v>
      </c>
      <c r="O16" s="127">
        <v>73.770492553710938</v>
      </c>
      <c r="P16" s="127">
        <v>85.245903015136719</v>
      </c>
      <c r="Q16" s="10"/>
      <c r="R16" s="33" cm="1">
        <f t="array" ref="R16">INDEX(trust_data_quality!$A$2:$P$127,(ROW()-ROW(trust_data_quality!$A$1:$P$1)),MATCH(selected_dq_name,trust_data_quality!$A$1:$P$1,0))</f>
        <v>97.540985107421875</v>
      </c>
      <c r="S16" s="33">
        <f>RANK(R16,R:R,1)+COUNTIF($R$2:R16,R16)-1</f>
        <v>104</v>
      </c>
      <c r="T16" s="10">
        <f t="shared" si="0"/>
        <v>0.9</v>
      </c>
    </row>
    <row r="17" spans="1:20" x14ac:dyDescent="0.25">
      <c r="A17" t="s">
        <v>322</v>
      </c>
      <c r="B17" t="s">
        <v>321</v>
      </c>
      <c r="C17" t="s">
        <v>48</v>
      </c>
      <c r="D17" t="s">
        <v>46</v>
      </c>
      <c r="E17" s="127">
        <v>443</v>
      </c>
      <c r="F17" s="127">
        <v>274</v>
      </c>
      <c r="G17" s="127">
        <v>95.485328674316406</v>
      </c>
      <c r="H17" s="127">
        <v>96.162528991699219</v>
      </c>
      <c r="I17" s="127">
        <v>65.237022399902344</v>
      </c>
      <c r="J17" s="127">
        <v>100</v>
      </c>
      <c r="K17" s="127">
        <v>92.776527404785156</v>
      </c>
      <c r="L17" s="127">
        <v>94.808128356933594</v>
      </c>
      <c r="M17" s="127">
        <v>100</v>
      </c>
      <c r="N17" s="127">
        <v>99.097068786621094</v>
      </c>
      <c r="O17" s="127">
        <v>75.395034790039063</v>
      </c>
      <c r="P17" s="127">
        <v>93.453727722167969</v>
      </c>
      <c r="R17" s="33" cm="1">
        <f t="array" ref="R17">INDEX(trust_data_quality!$A$2:$P$127,(ROW()-ROW(trust_data_quality!$A$1:$P$1)),MATCH(selected_dq_name,trust_data_quality!$A$1:$P$1,0))</f>
        <v>94.808128356933594</v>
      </c>
      <c r="S17" s="33">
        <f>RANK(R17,R:R,1)+COUNTIF($R$2:R17,R17)-1</f>
        <v>62</v>
      </c>
      <c r="T17">
        <f t="shared" si="0"/>
        <v>0.9</v>
      </c>
    </row>
    <row r="18" spans="1:20" x14ac:dyDescent="0.25">
      <c r="A18" s="10" t="s">
        <v>186</v>
      </c>
      <c r="B18" s="10" t="s">
        <v>185</v>
      </c>
      <c r="C18" s="10" t="s">
        <v>512</v>
      </c>
      <c r="D18" s="10" t="s">
        <v>70</v>
      </c>
      <c r="E18" s="127">
        <v>94</v>
      </c>
      <c r="F18" s="127">
        <v>71</v>
      </c>
      <c r="G18" s="127">
        <v>92.553192138671875</v>
      </c>
      <c r="H18" s="127">
        <v>78.723403930664063</v>
      </c>
      <c r="I18" s="127">
        <v>80.851066589355469</v>
      </c>
      <c r="J18" s="127">
        <v>100</v>
      </c>
      <c r="K18" s="127">
        <v>97.872337341308594</v>
      </c>
      <c r="L18" s="127">
        <v>92.553192138671875</v>
      </c>
      <c r="M18" s="127">
        <v>100</v>
      </c>
      <c r="N18" s="127">
        <v>98.936172485351563</v>
      </c>
      <c r="O18" s="127">
        <v>64.89361572265625</v>
      </c>
      <c r="P18" s="127">
        <v>3.1914894580841064</v>
      </c>
      <c r="Q18" s="10"/>
      <c r="R18" s="33" cm="1">
        <f t="array" ref="R18">INDEX(trust_data_quality!$A$2:$P$127,(ROW()-ROW(trust_data_quality!$A$1:$P$1)),MATCH(selected_dq_name,trust_data_quality!$A$1:$P$1,0))</f>
        <v>92.553192138671875</v>
      </c>
      <c r="S18" s="33">
        <f>RANK(R18,R:R,1)+COUNTIF($R$2:R18,R18)-1</f>
        <v>41</v>
      </c>
      <c r="T18" s="10">
        <f t="shared" si="0"/>
        <v>0.9</v>
      </c>
    </row>
    <row r="19" spans="1:20" x14ac:dyDescent="0.25">
      <c r="A19" t="s">
        <v>228</v>
      </c>
      <c r="B19" t="s">
        <v>227</v>
      </c>
      <c r="C19" t="s">
        <v>36</v>
      </c>
      <c r="D19" t="s">
        <v>34</v>
      </c>
      <c r="E19" s="127">
        <v>148</v>
      </c>
      <c r="F19" s="127">
        <v>96</v>
      </c>
      <c r="G19" s="127">
        <v>81.081077575683594</v>
      </c>
      <c r="H19" s="127">
        <v>93.243240356445313</v>
      </c>
      <c r="I19" s="127">
        <v>93.243240356445313</v>
      </c>
      <c r="J19" s="127">
        <v>98.958335876464844</v>
      </c>
      <c r="K19" s="127">
        <v>100</v>
      </c>
      <c r="L19" s="127">
        <v>95.270271301269531</v>
      </c>
      <c r="M19" s="127">
        <v>100</v>
      </c>
      <c r="N19" s="127">
        <v>96.621620178222656</v>
      </c>
      <c r="O19" s="127">
        <v>71.621620178222656</v>
      </c>
      <c r="P19" s="127">
        <v>62.162162780761719</v>
      </c>
      <c r="R19" s="33" cm="1">
        <f t="array" ref="R19">INDEX(trust_data_quality!$A$2:$P$127,(ROW()-ROW(trust_data_quality!$A$1:$P$1)),MATCH(selected_dq_name,trust_data_quality!$A$1:$P$1,0))</f>
        <v>95.270271301269531</v>
      </c>
      <c r="S19" s="33">
        <f>RANK(R19,R:R,1)+COUNTIF($R$2:R19,R19)-1</f>
        <v>67</v>
      </c>
      <c r="T19">
        <f t="shared" si="0"/>
        <v>0.9</v>
      </c>
    </row>
    <row r="20" spans="1:20" x14ac:dyDescent="0.25">
      <c r="A20" s="10" t="s">
        <v>240</v>
      </c>
      <c r="B20" s="10" t="s">
        <v>239</v>
      </c>
      <c r="C20" s="10" t="s">
        <v>60</v>
      </c>
      <c r="D20" s="10" t="s">
        <v>58</v>
      </c>
      <c r="E20" s="127">
        <v>367</v>
      </c>
      <c r="F20" s="127">
        <v>196</v>
      </c>
      <c r="G20" s="127">
        <v>85.286102294921875</v>
      </c>
      <c r="H20" s="127">
        <v>68.937332153320313</v>
      </c>
      <c r="I20" s="127">
        <v>51.498638153076172</v>
      </c>
      <c r="J20" s="127">
        <v>93.877548217773438</v>
      </c>
      <c r="K20" s="127">
        <v>85.831062316894531</v>
      </c>
      <c r="L20" s="127">
        <v>91.825614929199219</v>
      </c>
      <c r="M20" s="127">
        <v>100</v>
      </c>
      <c r="N20" s="127">
        <v>97.820159912109375</v>
      </c>
      <c r="O20" s="127">
        <v>41.689373016357422</v>
      </c>
      <c r="P20" s="127">
        <v>19.618528366088867</v>
      </c>
      <c r="Q20" s="10"/>
      <c r="R20" s="33" cm="1">
        <f t="array" ref="R20">INDEX(trust_data_quality!$A$2:$P$127,(ROW()-ROW(trust_data_quality!$A$1:$P$1)),MATCH(selected_dq_name,trust_data_quality!$A$1:$P$1,0))</f>
        <v>91.825614929199219</v>
      </c>
      <c r="S20" s="33">
        <f>RANK(R20,R:R,1)+COUNTIF($R$2:R20,R20)-1</f>
        <v>40</v>
      </c>
      <c r="T20" s="10">
        <f t="shared" si="0"/>
        <v>0.9</v>
      </c>
    </row>
    <row r="21" spans="1:20" x14ac:dyDescent="0.25">
      <c r="A21" t="s">
        <v>114</v>
      </c>
      <c r="B21" t="s">
        <v>113</v>
      </c>
      <c r="C21" t="s">
        <v>69</v>
      </c>
      <c r="D21" t="s">
        <v>67</v>
      </c>
      <c r="E21" s="127">
        <v>156</v>
      </c>
      <c r="F21" s="127">
        <v>96</v>
      </c>
      <c r="G21" s="127">
        <v>95.5128173828125</v>
      </c>
      <c r="H21" s="127">
        <v>97.435897827148438</v>
      </c>
      <c r="I21" s="127">
        <v>66.025642395019531</v>
      </c>
      <c r="J21" s="127">
        <v>100</v>
      </c>
      <c r="K21" s="127">
        <v>99.358970642089844</v>
      </c>
      <c r="L21" s="127">
        <v>97.435897827148438</v>
      </c>
      <c r="M21" s="127">
        <v>100</v>
      </c>
      <c r="N21" s="127">
        <v>96.153846740722656</v>
      </c>
      <c r="O21" s="127">
        <v>71.794868469238281</v>
      </c>
      <c r="P21" s="127">
        <v>94.230766296386719</v>
      </c>
      <c r="R21" s="33" cm="1">
        <f t="array" ref="R21">INDEX(trust_data_quality!$A$2:$P$127,(ROW()-ROW(trust_data_quality!$A$1:$P$1)),MATCH(selected_dq_name,trust_data_quality!$A$1:$P$1,0))</f>
        <v>97.435897827148438</v>
      </c>
      <c r="S21" s="33">
        <f>RANK(R21,R:R,1)+COUNTIF($R$2:R21,R21)-1</f>
        <v>99</v>
      </c>
      <c r="T21">
        <f t="shared" si="0"/>
        <v>0.9</v>
      </c>
    </row>
    <row r="22" spans="1:20" x14ac:dyDescent="0.25">
      <c r="A22" s="10" t="s">
        <v>300</v>
      </c>
      <c r="B22" s="10" t="s">
        <v>299</v>
      </c>
      <c r="C22" s="10" t="s">
        <v>27</v>
      </c>
      <c r="D22" s="10" t="s">
        <v>25</v>
      </c>
      <c r="E22" s="127">
        <v>211</v>
      </c>
      <c r="F22" s="127">
        <v>137</v>
      </c>
      <c r="G22" s="127">
        <v>76.303314208984375</v>
      </c>
      <c r="H22" s="127">
        <v>69.194313049316406</v>
      </c>
      <c r="I22" s="127">
        <v>65.402847290039063</v>
      </c>
      <c r="J22" s="127">
        <v>97.080291748046875</v>
      </c>
      <c r="K22" s="127">
        <v>99.052131652832031</v>
      </c>
      <c r="L22" s="127">
        <v>89.573463439941406</v>
      </c>
      <c r="M22" s="127">
        <v>100</v>
      </c>
      <c r="N22" s="127">
        <v>94.312797546386719</v>
      </c>
      <c r="O22" s="127">
        <v>51.658767700195313</v>
      </c>
      <c r="P22" s="127">
        <v>11.374407768249512</v>
      </c>
      <c r="Q22" s="10"/>
      <c r="R22" s="33" cm="1">
        <f t="array" ref="R22">INDEX(trust_data_quality!$A$2:$P$127,(ROW()-ROW(trust_data_quality!$A$1:$P$1)),MATCH(selected_dq_name,trust_data_quality!$A$1:$P$1,0))</f>
        <v>89.573463439941406</v>
      </c>
      <c r="S22" s="33">
        <f>RANK(R22,R:R,1)+COUNTIF($R$2:R22,R22)-1</f>
        <v>29</v>
      </c>
      <c r="T22" s="10">
        <f t="shared" si="0"/>
        <v>0.9</v>
      </c>
    </row>
    <row r="23" spans="1:20" x14ac:dyDescent="0.25">
      <c r="A23" t="s">
        <v>196</v>
      </c>
      <c r="B23" t="s">
        <v>195</v>
      </c>
      <c r="C23" t="s">
        <v>18</v>
      </c>
      <c r="D23" t="s">
        <v>16</v>
      </c>
      <c r="E23" s="127">
        <v>113</v>
      </c>
      <c r="F23" s="127">
        <v>73</v>
      </c>
      <c r="G23" s="127">
        <v>97.345130920410156</v>
      </c>
      <c r="H23" s="127">
        <v>97.345130920410156</v>
      </c>
      <c r="I23" s="127">
        <v>65.486724853515625</v>
      </c>
      <c r="J23" s="127">
        <v>97.260276794433594</v>
      </c>
      <c r="K23" s="127">
        <v>100</v>
      </c>
      <c r="L23" s="127">
        <v>95.575218200683594</v>
      </c>
      <c r="M23" s="127">
        <v>100</v>
      </c>
      <c r="N23" s="127">
        <v>97.345130920410156</v>
      </c>
      <c r="O23" s="127">
        <v>73.451324462890625</v>
      </c>
      <c r="P23" s="127">
        <v>84.95574951171875</v>
      </c>
      <c r="R23" s="33" cm="1">
        <f t="array" ref="R23">INDEX(trust_data_quality!$A$2:$P$127,(ROW()-ROW(trust_data_quality!$A$1:$P$1)),MATCH(selected_dq_name,trust_data_quality!$A$1:$P$1,0))</f>
        <v>95.575218200683594</v>
      </c>
      <c r="S23" s="33">
        <f>RANK(R23,R:R,1)+COUNTIF($R$2:R23,R23)-1</f>
        <v>74</v>
      </c>
      <c r="T23">
        <f t="shared" si="0"/>
        <v>0.9</v>
      </c>
    </row>
    <row r="24" spans="1:20" x14ac:dyDescent="0.25">
      <c r="A24" s="10" t="s">
        <v>284</v>
      </c>
      <c r="B24" s="10" t="s">
        <v>283</v>
      </c>
      <c r="C24" s="10" t="s">
        <v>36</v>
      </c>
      <c r="D24" s="10" t="s">
        <v>34</v>
      </c>
      <c r="E24" s="127">
        <v>475</v>
      </c>
      <c r="F24" s="127">
        <v>250</v>
      </c>
      <c r="G24" s="127">
        <v>80</v>
      </c>
      <c r="H24" s="127">
        <v>85.052635192871094</v>
      </c>
      <c r="I24" s="127">
        <v>72.84210205078125</v>
      </c>
      <c r="J24" s="127">
        <v>100</v>
      </c>
      <c r="K24" s="127">
        <v>98.526313781738281</v>
      </c>
      <c r="L24" s="127">
        <v>91.789474487304688</v>
      </c>
      <c r="M24" s="127">
        <v>100</v>
      </c>
      <c r="N24" s="127">
        <v>94.315788269042969</v>
      </c>
      <c r="O24" s="127">
        <v>56.210525512695313</v>
      </c>
      <c r="P24" s="127">
        <v>40.421051025390625</v>
      </c>
      <c r="Q24" s="10"/>
      <c r="R24" s="33" cm="1">
        <f t="array" ref="R24">INDEX(trust_data_quality!$A$2:$P$127,(ROW()-ROW(trust_data_quality!$A$1:$P$1)),MATCH(selected_dq_name,trust_data_quality!$A$1:$P$1,0))</f>
        <v>91.789474487304688</v>
      </c>
      <c r="S24" s="33">
        <f>RANK(R24,R:R,1)+COUNTIF($R$2:R24,R24)-1</f>
        <v>39</v>
      </c>
      <c r="T24" s="10">
        <f t="shared" si="0"/>
        <v>0.9</v>
      </c>
    </row>
    <row r="25" spans="1:20" x14ac:dyDescent="0.25">
      <c r="A25" t="s">
        <v>326</v>
      </c>
      <c r="B25" t="s">
        <v>325</v>
      </c>
      <c r="C25" t="s">
        <v>39</v>
      </c>
      <c r="D25" t="s">
        <v>37</v>
      </c>
      <c r="E25" s="127">
        <v>326</v>
      </c>
      <c r="F25" s="127">
        <v>177</v>
      </c>
      <c r="G25" s="127">
        <v>96.625770568847656</v>
      </c>
      <c r="H25" s="127">
        <v>92.638038635253906</v>
      </c>
      <c r="I25" s="127">
        <v>54.907974243164063</v>
      </c>
      <c r="J25" s="127">
        <v>100</v>
      </c>
      <c r="K25" s="127">
        <v>98.159507751464844</v>
      </c>
      <c r="L25" s="127">
        <v>98.773002624511719</v>
      </c>
      <c r="M25" s="127">
        <v>100</v>
      </c>
      <c r="N25" s="127">
        <v>99.079757690429688</v>
      </c>
      <c r="O25" s="127">
        <v>66.564414978027344</v>
      </c>
      <c r="P25" s="127">
        <v>89.263801574707031</v>
      </c>
      <c r="R25" s="33" cm="1">
        <f t="array" ref="R25">INDEX(trust_data_quality!$A$2:$P$127,(ROW()-ROW(trust_data_quality!$A$1:$P$1)),MATCH(selected_dq_name,trust_data_quality!$A$1:$P$1,0))</f>
        <v>98.773002624511719</v>
      </c>
      <c r="S25" s="33">
        <f>RANK(R25,R:R,1)+COUNTIF($R$2:R25,R25)-1</f>
        <v>119</v>
      </c>
      <c r="T25">
        <f t="shared" si="0"/>
        <v>0.9</v>
      </c>
    </row>
    <row r="26" spans="1:20" x14ac:dyDescent="0.25">
      <c r="A26" s="10" t="s">
        <v>142</v>
      </c>
      <c r="B26" s="10" t="s">
        <v>141</v>
      </c>
      <c r="C26" s="10" t="s">
        <v>24</v>
      </c>
      <c r="D26" s="10" t="s">
        <v>22</v>
      </c>
      <c r="E26" s="127">
        <v>422</v>
      </c>
      <c r="F26" s="127">
        <v>245</v>
      </c>
      <c r="G26" s="127">
        <v>83.412322998046875</v>
      </c>
      <c r="H26" s="127">
        <v>89.573463439941406</v>
      </c>
      <c r="I26" s="127">
        <v>63.507110595703125</v>
      </c>
      <c r="J26" s="127">
        <v>99.183670043945313</v>
      </c>
      <c r="K26" s="127">
        <v>98.815162658691406</v>
      </c>
      <c r="L26" s="127">
        <v>95.497627258300781</v>
      </c>
      <c r="M26" s="127">
        <v>100</v>
      </c>
      <c r="N26" s="127">
        <v>95.260665893554688</v>
      </c>
      <c r="O26" s="127">
        <v>55.924171447753906</v>
      </c>
      <c r="P26" s="127">
        <v>59.241706848144531</v>
      </c>
      <c r="Q26" s="10"/>
      <c r="R26" s="33" cm="1">
        <f t="array" ref="R26">INDEX(trust_data_quality!$A$2:$P$127,(ROW()-ROW(trust_data_quality!$A$1:$P$1)),MATCH(selected_dq_name,trust_data_quality!$A$1:$P$1,0))</f>
        <v>95.497627258300781</v>
      </c>
      <c r="S26" s="33">
        <f>RANK(R26,R:R,1)+COUNTIF($R$2:R26,R26)-1</f>
        <v>72</v>
      </c>
      <c r="T26" s="10">
        <f t="shared" si="0"/>
        <v>0.9</v>
      </c>
    </row>
    <row r="27" spans="1:20" x14ac:dyDescent="0.25">
      <c r="A27" t="s">
        <v>312</v>
      </c>
      <c r="B27" t="s">
        <v>311</v>
      </c>
      <c r="C27" t="s">
        <v>63</v>
      </c>
      <c r="D27" t="s">
        <v>61</v>
      </c>
      <c r="E27" s="127">
        <v>236</v>
      </c>
      <c r="F27" s="127">
        <v>157</v>
      </c>
      <c r="G27" s="127">
        <v>82.627120971679688</v>
      </c>
      <c r="H27" s="127">
        <v>64.83050537109375</v>
      </c>
      <c r="I27" s="127">
        <v>66.101692199707031</v>
      </c>
      <c r="J27" s="127">
        <v>98.08917236328125</v>
      </c>
      <c r="K27" s="127">
        <v>98.305084228515625</v>
      </c>
      <c r="L27" s="127">
        <v>87.711860656738281</v>
      </c>
      <c r="M27" s="127">
        <v>100</v>
      </c>
      <c r="N27" s="127">
        <v>87.288139343261719</v>
      </c>
      <c r="O27" s="127">
        <v>30.93220329284668</v>
      </c>
      <c r="P27" s="127">
        <v>36.440677642822266</v>
      </c>
      <c r="R27" s="33" cm="1">
        <f t="array" ref="R27">INDEX(trust_data_quality!$A$2:$P$127,(ROW()-ROW(trust_data_quality!$A$1:$P$1)),MATCH(selected_dq_name,trust_data_quality!$A$1:$P$1,0))</f>
        <v>87.711860656738281</v>
      </c>
      <c r="S27" s="33">
        <f>RANK(R27,R:R,1)+COUNTIF($R$2:R27,R27)-1</f>
        <v>22</v>
      </c>
      <c r="T27">
        <f t="shared" si="0"/>
        <v>0.9</v>
      </c>
    </row>
    <row r="28" spans="1:20" x14ac:dyDescent="0.25">
      <c r="A28" s="10" t="s">
        <v>282</v>
      </c>
      <c r="B28" s="10" t="s">
        <v>281</v>
      </c>
      <c r="C28" s="10" t="s">
        <v>512</v>
      </c>
      <c r="D28" s="10" t="s">
        <v>70</v>
      </c>
      <c r="E28" s="127">
        <v>197</v>
      </c>
      <c r="F28" s="127">
        <v>118</v>
      </c>
      <c r="G28" s="127">
        <v>92.385787963867188</v>
      </c>
      <c r="H28" s="127">
        <v>83.248733520507813</v>
      </c>
      <c r="I28" s="127">
        <v>95.431472778320313</v>
      </c>
      <c r="J28" s="127">
        <v>100</v>
      </c>
      <c r="K28" s="127">
        <v>99.492385864257813</v>
      </c>
      <c r="L28" s="127">
        <v>93.90863037109375</v>
      </c>
      <c r="M28" s="127">
        <v>100</v>
      </c>
      <c r="N28" s="127">
        <v>98.477157592773438</v>
      </c>
      <c r="O28" s="127">
        <v>37.055835723876953</v>
      </c>
      <c r="P28" s="127">
        <v>84.263961791992188</v>
      </c>
      <c r="Q28" s="10"/>
      <c r="R28" s="33" cm="1">
        <f t="array" ref="R28">INDEX(trust_data_quality!$A$2:$P$127,(ROW()-ROW(trust_data_quality!$A$1:$P$1)),MATCH(selected_dq_name,trust_data_quality!$A$1:$P$1,0))</f>
        <v>93.90863037109375</v>
      </c>
      <c r="S28" s="33">
        <f>RANK(R28,R:R,1)+COUNTIF($R$2:R28,R28)-1</f>
        <v>54</v>
      </c>
      <c r="T28" s="10">
        <f t="shared" si="0"/>
        <v>0.9</v>
      </c>
    </row>
    <row r="29" spans="1:20" x14ac:dyDescent="0.25">
      <c r="A29" t="s">
        <v>144</v>
      </c>
      <c r="B29" t="s">
        <v>143</v>
      </c>
      <c r="C29" t="s">
        <v>63</v>
      </c>
      <c r="D29" t="s">
        <v>61</v>
      </c>
      <c r="E29" s="127">
        <v>374</v>
      </c>
      <c r="F29" s="127">
        <v>231</v>
      </c>
      <c r="G29" s="127">
        <v>90.641708374023438</v>
      </c>
      <c r="H29" s="127">
        <v>95.721923828125</v>
      </c>
      <c r="I29" s="127">
        <v>62.566844940185547</v>
      </c>
      <c r="J29" s="127">
        <v>97.402595520019531</v>
      </c>
      <c r="K29" s="127">
        <v>99.465240478515625</v>
      </c>
      <c r="L29" s="127">
        <v>97.8609619140625</v>
      </c>
      <c r="M29" s="127">
        <v>100</v>
      </c>
      <c r="N29" s="127">
        <v>95.989303588867188</v>
      </c>
      <c r="O29" s="127">
        <v>71.390373229980469</v>
      </c>
      <c r="P29" s="127">
        <v>72.994651794433594</v>
      </c>
      <c r="R29" s="33" cm="1">
        <f t="array" ref="R29">INDEX(trust_data_quality!$A$2:$P$127,(ROW()-ROW(trust_data_quality!$A$1:$P$1)),MATCH(selected_dq_name,trust_data_quality!$A$1:$P$1,0))</f>
        <v>97.8609619140625</v>
      </c>
      <c r="S29" s="33">
        <f>RANK(R29,R:R,1)+COUNTIF($R$2:R29,R29)-1</f>
        <v>105</v>
      </c>
      <c r="T29">
        <f t="shared" si="0"/>
        <v>0.9</v>
      </c>
    </row>
    <row r="30" spans="1:20" x14ac:dyDescent="0.25">
      <c r="A30" s="10" t="s">
        <v>252</v>
      </c>
      <c r="B30" s="10" t="s">
        <v>251</v>
      </c>
      <c r="C30" s="10" t="s">
        <v>48</v>
      </c>
      <c r="D30" s="10" t="s">
        <v>46</v>
      </c>
      <c r="E30" s="127">
        <v>238</v>
      </c>
      <c r="F30" s="127">
        <v>115</v>
      </c>
      <c r="G30" s="127">
        <v>86.554618835449219</v>
      </c>
      <c r="H30" s="127">
        <v>88.23529052734375</v>
      </c>
      <c r="I30" s="127">
        <v>46.638656616210938</v>
      </c>
      <c r="J30" s="127">
        <v>92.173912048339844</v>
      </c>
      <c r="K30" s="127">
        <v>99.159660339355469</v>
      </c>
      <c r="L30" s="127">
        <v>94.957984924316406</v>
      </c>
      <c r="M30" s="127">
        <v>100</v>
      </c>
      <c r="N30" s="127">
        <v>96.218490600585938</v>
      </c>
      <c r="O30" s="127">
        <v>61.764705657958984</v>
      </c>
      <c r="P30" s="127">
        <v>36.134452819824219</v>
      </c>
      <c r="Q30" s="10"/>
      <c r="R30" s="33" cm="1">
        <f t="array" ref="R30">INDEX(trust_data_quality!$A$2:$P$127,(ROW()-ROW(trust_data_quality!$A$1:$P$1)),MATCH(selected_dq_name,trust_data_quality!$A$1:$P$1,0))</f>
        <v>94.957984924316406</v>
      </c>
      <c r="S30" s="33">
        <f>RANK(R30,R:R,1)+COUNTIF($R$2:R30,R30)-1</f>
        <v>64</v>
      </c>
      <c r="T30" s="10">
        <f t="shared" si="0"/>
        <v>0.9</v>
      </c>
    </row>
    <row r="31" spans="1:20" x14ac:dyDescent="0.25">
      <c r="A31" t="s">
        <v>214</v>
      </c>
      <c r="B31" t="s">
        <v>213</v>
      </c>
      <c r="C31" t="s">
        <v>74</v>
      </c>
      <c r="D31" t="s">
        <v>72</v>
      </c>
      <c r="E31" s="127">
        <v>99</v>
      </c>
      <c r="F31" s="127">
        <v>58</v>
      </c>
      <c r="G31" s="127">
        <v>87.8787841796875</v>
      </c>
      <c r="H31" s="127">
        <v>89.89898681640625</v>
      </c>
      <c r="I31" s="127">
        <v>59.595958709716797</v>
      </c>
      <c r="J31" s="127">
        <v>98.275863647460938</v>
      </c>
      <c r="K31" s="127">
        <v>97.97979736328125</v>
      </c>
      <c r="L31" s="127">
        <v>88.888885498046875</v>
      </c>
      <c r="M31" s="127">
        <v>100</v>
      </c>
      <c r="N31" s="127">
        <v>95.9595947265625</v>
      </c>
      <c r="O31" s="127">
        <v>60.606060028076172</v>
      </c>
      <c r="P31" s="127">
        <v>47.474746704101563</v>
      </c>
      <c r="R31" s="33" cm="1">
        <f t="array" ref="R31">INDEX(trust_data_quality!$A$2:$P$127,(ROW()-ROW(trust_data_quality!$A$1:$P$1)),MATCH(selected_dq_name,trust_data_quality!$A$1:$P$1,0))</f>
        <v>88.888885498046875</v>
      </c>
      <c r="S31" s="33">
        <f>RANK(R31,R:R,1)+COUNTIF($R$2:R31,R31)-1</f>
        <v>27</v>
      </c>
      <c r="T31">
        <f t="shared" si="0"/>
        <v>0.9</v>
      </c>
    </row>
    <row r="32" spans="1:20" x14ac:dyDescent="0.25">
      <c r="A32" s="10" t="s">
        <v>264</v>
      </c>
      <c r="B32" s="10" t="s">
        <v>263</v>
      </c>
      <c r="C32" s="10" t="s">
        <v>54</v>
      </c>
      <c r="D32" s="10" t="s">
        <v>52</v>
      </c>
      <c r="E32" s="127">
        <v>261</v>
      </c>
      <c r="F32" s="127">
        <v>180</v>
      </c>
      <c r="G32" s="127">
        <v>96.1685791015625</v>
      </c>
      <c r="H32" s="127">
        <v>95.785438537597656</v>
      </c>
      <c r="I32" s="127">
        <v>68.96551513671875</v>
      </c>
      <c r="J32" s="127">
        <v>99.444442749023438</v>
      </c>
      <c r="K32" s="127">
        <v>95.019157409667969</v>
      </c>
      <c r="L32" s="127">
        <v>96.551727294921875</v>
      </c>
      <c r="M32" s="127">
        <v>100</v>
      </c>
      <c r="N32" s="127">
        <v>95.402297973632813</v>
      </c>
      <c r="O32" s="127">
        <v>72.030654907226563</v>
      </c>
      <c r="P32" s="127">
        <v>0</v>
      </c>
      <c r="Q32" s="10"/>
      <c r="R32" s="33" cm="1">
        <f t="array" ref="R32">INDEX(trust_data_quality!$A$2:$P$127,(ROW()-ROW(trust_data_quality!$A$1:$P$1)),MATCH(selected_dq_name,trust_data_quality!$A$1:$P$1,0))</f>
        <v>96.551727294921875</v>
      </c>
      <c r="S32" s="33">
        <f>RANK(R32,R:R,1)+COUNTIF($R$2:R32,R32)-1</f>
        <v>84</v>
      </c>
      <c r="T32" s="10">
        <f t="shared" si="0"/>
        <v>0.9</v>
      </c>
    </row>
    <row r="33" spans="1:20" x14ac:dyDescent="0.25">
      <c r="A33" t="s">
        <v>224</v>
      </c>
      <c r="B33" t="s">
        <v>223</v>
      </c>
      <c r="C33" t="s">
        <v>54</v>
      </c>
      <c r="D33" t="s">
        <v>52</v>
      </c>
      <c r="E33" s="127">
        <v>179</v>
      </c>
      <c r="F33" s="127">
        <v>98</v>
      </c>
      <c r="G33" s="127">
        <v>87.150840759277344</v>
      </c>
      <c r="H33" s="127">
        <v>88.826812744140625</v>
      </c>
      <c r="I33" s="127">
        <v>59.217876434326172</v>
      </c>
      <c r="J33" s="127">
        <v>100</v>
      </c>
      <c r="K33" s="127">
        <v>98.882682800292969</v>
      </c>
      <c r="L33" s="127">
        <v>88.826812744140625</v>
      </c>
      <c r="M33" s="127">
        <v>100</v>
      </c>
      <c r="N33" s="127">
        <v>99.441337585449219</v>
      </c>
      <c r="O33" s="127">
        <v>68.715080261230469</v>
      </c>
      <c r="P33" s="127">
        <v>84.3575439453125</v>
      </c>
      <c r="R33" s="33" cm="1">
        <f t="array" ref="R33">INDEX(trust_data_quality!$A$2:$P$127,(ROW()-ROW(trust_data_quality!$A$1:$P$1)),MATCH(selected_dq_name,trust_data_quality!$A$1:$P$1,0))</f>
        <v>88.826812744140625</v>
      </c>
      <c r="S33" s="33">
        <f>RANK(R33,R:R,1)+COUNTIF($R$2:R33,R33)-1</f>
        <v>26</v>
      </c>
      <c r="T33">
        <f t="shared" si="0"/>
        <v>0.9</v>
      </c>
    </row>
    <row r="34" spans="1:20" x14ac:dyDescent="0.25">
      <c r="A34" s="10" t="s">
        <v>182</v>
      </c>
      <c r="B34" s="10" t="s">
        <v>181</v>
      </c>
      <c r="C34" s="10" t="s">
        <v>57</v>
      </c>
      <c r="D34" s="10" t="s">
        <v>55</v>
      </c>
      <c r="E34" s="127">
        <v>352</v>
      </c>
      <c r="F34" s="127">
        <v>169</v>
      </c>
      <c r="G34" s="127">
        <v>45.454544067382813</v>
      </c>
      <c r="H34" s="127">
        <v>47.159091949462891</v>
      </c>
      <c r="I34" s="127">
        <v>51.420455932617188</v>
      </c>
      <c r="J34" s="127">
        <v>97.633132934570313</v>
      </c>
      <c r="K34" s="127">
        <v>97.727272033691406</v>
      </c>
      <c r="L34" s="127">
        <v>60.511363983154297</v>
      </c>
      <c r="M34" s="127">
        <v>100</v>
      </c>
      <c r="N34" s="127">
        <v>92.897727966308594</v>
      </c>
      <c r="O34" s="127">
        <v>25.284090042114258</v>
      </c>
      <c r="P34" s="127">
        <v>14.204545021057129</v>
      </c>
      <c r="Q34" s="10"/>
      <c r="R34" s="33" cm="1">
        <f t="array" ref="R34">INDEX(trust_data_quality!$A$2:$P$127,(ROW()-ROW(trust_data_quality!$A$1:$P$1)),MATCH(selected_dq_name,trust_data_quality!$A$1:$P$1,0))</f>
        <v>60.511363983154297</v>
      </c>
      <c r="S34" s="33">
        <f>RANK(R34,R:R,1)+COUNTIF($R$2:R34,R34)-1</f>
        <v>6</v>
      </c>
      <c r="T34" s="10">
        <f t="shared" ref="T34:T65" si="1">selected_dq_target</f>
        <v>0.9</v>
      </c>
    </row>
    <row r="35" spans="1:20" x14ac:dyDescent="0.25">
      <c r="A35" t="s">
        <v>226</v>
      </c>
      <c r="B35" t="s">
        <v>225</v>
      </c>
      <c r="C35" t="s">
        <v>69</v>
      </c>
      <c r="D35" t="s">
        <v>67</v>
      </c>
      <c r="E35" s="127">
        <v>278</v>
      </c>
      <c r="F35" s="127">
        <v>110</v>
      </c>
      <c r="G35" s="127">
        <v>93.884895324707031</v>
      </c>
      <c r="H35" s="127">
        <v>95.323738098144531</v>
      </c>
      <c r="I35" s="127">
        <v>61.870502471923828</v>
      </c>
      <c r="J35" s="127">
        <v>97.272727966308594</v>
      </c>
      <c r="K35" s="127">
        <v>97.122299194335938</v>
      </c>
      <c r="L35" s="127">
        <v>91.726615905761719</v>
      </c>
      <c r="M35" s="127">
        <v>100</v>
      </c>
      <c r="N35" s="127">
        <v>98.201438903808594</v>
      </c>
      <c r="O35" s="127">
        <v>70.503593444824219</v>
      </c>
      <c r="P35" s="127">
        <v>67.985610961914063</v>
      </c>
      <c r="R35" s="33" cm="1">
        <f t="array" ref="R35">INDEX(trust_data_quality!$A$2:$P$127,(ROW()-ROW(trust_data_quality!$A$1:$P$1)),MATCH(selected_dq_name,trust_data_quality!$A$1:$P$1,0))</f>
        <v>91.726615905761719</v>
      </c>
      <c r="S35" s="33">
        <f>RANK(R35,R:R,1)+COUNTIF($R$2:R35,R35)-1</f>
        <v>38</v>
      </c>
      <c r="T35">
        <f t="shared" si="1"/>
        <v>0.9</v>
      </c>
    </row>
    <row r="36" spans="1:20" x14ac:dyDescent="0.25">
      <c r="A36" s="10" t="s">
        <v>132</v>
      </c>
      <c r="B36" s="10" t="s">
        <v>131</v>
      </c>
      <c r="C36" s="10" t="s">
        <v>33</v>
      </c>
      <c r="D36" s="10" t="s">
        <v>31</v>
      </c>
      <c r="E36" s="127">
        <v>132</v>
      </c>
      <c r="F36" s="127">
        <v>79</v>
      </c>
      <c r="G36" s="127">
        <v>81.818183898925781</v>
      </c>
      <c r="H36" s="127">
        <v>70.454544067382813</v>
      </c>
      <c r="I36" s="127">
        <v>95.454544067382813</v>
      </c>
      <c r="J36" s="127">
        <v>100</v>
      </c>
      <c r="K36" s="127">
        <v>99.242424011230469</v>
      </c>
      <c r="L36" s="127">
        <v>95.454544067382813</v>
      </c>
      <c r="M36" s="127">
        <v>100</v>
      </c>
      <c r="N36" s="127">
        <v>97.727272033691406</v>
      </c>
      <c r="O36" s="127">
        <v>64.393936157226563</v>
      </c>
      <c r="P36" s="127">
        <v>58.333332061767578</v>
      </c>
      <c r="Q36" s="10"/>
      <c r="R36" s="33" cm="1">
        <f t="array" ref="R36">INDEX(trust_data_quality!$A$2:$P$127,(ROW()-ROW(trust_data_quality!$A$1:$P$1)),MATCH(selected_dq_name,trust_data_quality!$A$1:$P$1,0))</f>
        <v>95.454544067382813</v>
      </c>
      <c r="S36" s="33">
        <f>RANK(R36,R:R,1)+COUNTIF($R$2:R36,R36)-1</f>
        <v>70</v>
      </c>
      <c r="T36" s="10">
        <f t="shared" si="1"/>
        <v>0.9</v>
      </c>
    </row>
    <row r="37" spans="1:20" x14ac:dyDescent="0.25">
      <c r="A37" t="s">
        <v>250</v>
      </c>
      <c r="B37" t="s">
        <v>249</v>
      </c>
      <c r="C37" t="s">
        <v>45</v>
      </c>
      <c r="D37" t="s">
        <v>43</v>
      </c>
      <c r="E37" s="127">
        <v>115</v>
      </c>
      <c r="F37" s="127">
        <v>68</v>
      </c>
      <c r="G37" s="127">
        <v>85.217391967773438</v>
      </c>
      <c r="H37" s="127">
        <v>68.695655822753906</v>
      </c>
      <c r="I37" s="127">
        <v>62.608695983886719</v>
      </c>
      <c r="J37" s="127">
        <v>100</v>
      </c>
      <c r="K37" s="127">
        <v>99.13043212890625</v>
      </c>
      <c r="L37" s="127">
        <v>97.391304016113281</v>
      </c>
      <c r="M37" s="127">
        <v>100</v>
      </c>
      <c r="N37" s="127">
        <v>99.13043212890625</v>
      </c>
      <c r="O37" s="127">
        <v>54.782608032226563</v>
      </c>
      <c r="P37" s="127">
        <v>36.521739959716797</v>
      </c>
      <c r="R37" s="33" cm="1">
        <f t="array" ref="R37">INDEX(trust_data_quality!$A$2:$P$127,(ROW()-ROW(trust_data_quality!$A$1:$P$1)),MATCH(selected_dq_name,trust_data_quality!$A$1:$P$1,0))</f>
        <v>97.391304016113281</v>
      </c>
      <c r="S37" s="33">
        <f>RANK(R37,R:R,1)+COUNTIF($R$2:R37,R37)-1</f>
        <v>98</v>
      </c>
      <c r="T37">
        <f t="shared" si="1"/>
        <v>0.9</v>
      </c>
    </row>
    <row r="38" spans="1:20" x14ac:dyDescent="0.25">
      <c r="A38" s="10" t="s">
        <v>290</v>
      </c>
      <c r="B38" s="10" t="s">
        <v>289</v>
      </c>
      <c r="C38" s="10" t="s">
        <v>33</v>
      </c>
      <c r="D38" s="10" t="s">
        <v>31</v>
      </c>
      <c r="E38" s="127">
        <v>464</v>
      </c>
      <c r="F38" s="127">
        <v>243</v>
      </c>
      <c r="G38" s="127">
        <v>88.577583312988281</v>
      </c>
      <c r="H38" s="127">
        <v>90.086204528808594</v>
      </c>
      <c r="I38" s="127">
        <v>54.956897735595703</v>
      </c>
      <c r="J38" s="127">
        <v>97.942390441894531</v>
      </c>
      <c r="K38" s="127">
        <v>96.767242431640625</v>
      </c>
      <c r="L38" s="127">
        <v>93.96551513671875</v>
      </c>
      <c r="M38" s="127">
        <v>100</v>
      </c>
      <c r="N38" s="127">
        <v>91.594825744628906</v>
      </c>
      <c r="O38" s="127">
        <v>62.284481048583984</v>
      </c>
      <c r="P38" s="127">
        <v>33.836208343505859</v>
      </c>
      <c r="Q38" s="10"/>
      <c r="R38" s="33" cm="1">
        <f t="array" ref="R38">INDEX(trust_data_quality!$A$2:$P$127,(ROW()-ROW(trust_data_quality!$A$1:$P$1)),MATCH(selected_dq_name,trust_data_quality!$A$1:$P$1,0))</f>
        <v>93.96551513671875</v>
      </c>
      <c r="S38" s="33">
        <f>RANK(R38,R:R,1)+COUNTIF($R$2:R38,R38)-1</f>
        <v>56</v>
      </c>
      <c r="T38" s="10">
        <f t="shared" si="1"/>
        <v>0.9</v>
      </c>
    </row>
    <row r="39" spans="1:20" x14ac:dyDescent="0.25">
      <c r="A39" t="s">
        <v>330</v>
      </c>
      <c r="B39" t="s">
        <v>329</v>
      </c>
      <c r="C39" t="s">
        <v>512</v>
      </c>
      <c r="D39" t="s">
        <v>70</v>
      </c>
      <c r="E39" s="127">
        <v>264</v>
      </c>
      <c r="F39" s="127">
        <v>186</v>
      </c>
      <c r="G39" s="127">
        <v>92.424240112304688</v>
      </c>
      <c r="H39" s="127">
        <v>88.257575988769531</v>
      </c>
      <c r="I39" s="127">
        <v>69.318183898925781</v>
      </c>
      <c r="J39" s="127">
        <v>95.698921203613281</v>
      </c>
      <c r="K39" s="127">
        <v>98.484848022460938</v>
      </c>
      <c r="L39" s="127">
        <v>95.833335876464844</v>
      </c>
      <c r="M39" s="127">
        <v>100</v>
      </c>
      <c r="N39" s="127">
        <v>96.212120056152344</v>
      </c>
      <c r="O39" s="127">
        <v>56.06060791015625</v>
      </c>
      <c r="P39" s="127">
        <v>0.37878787517547607</v>
      </c>
      <c r="R39" s="33" cm="1">
        <f t="array" ref="R39">INDEX(trust_data_quality!$A$2:$P$127,(ROW()-ROW(trust_data_quality!$A$1:$P$1)),MATCH(selected_dq_name,trust_data_quality!$A$1:$P$1,0))</f>
        <v>95.833335876464844</v>
      </c>
      <c r="S39" s="33">
        <f>RANK(R39,R:R,1)+COUNTIF($R$2:R39,R39)-1</f>
        <v>77</v>
      </c>
      <c r="T39">
        <f t="shared" si="1"/>
        <v>0.9</v>
      </c>
    </row>
    <row r="40" spans="1:20" x14ac:dyDescent="0.25">
      <c r="A40" s="10" t="s">
        <v>87</v>
      </c>
      <c r="B40" s="10" t="s">
        <v>86</v>
      </c>
      <c r="C40" s="10" t="s">
        <v>69</v>
      </c>
      <c r="D40" s="10" t="s">
        <v>67</v>
      </c>
      <c r="E40" s="127">
        <v>108</v>
      </c>
      <c r="F40" s="127">
        <v>82</v>
      </c>
      <c r="G40" s="127">
        <v>87.962959289550781</v>
      </c>
      <c r="H40" s="127">
        <v>74.074073791503906</v>
      </c>
      <c r="I40" s="127">
        <v>75.925926208496094</v>
      </c>
      <c r="J40" s="127">
        <v>97.56097412109375</v>
      </c>
      <c r="K40" s="127">
        <v>97.222221374511719</v>
      </c>
      <c r="L40" s="127">
        <v>91.666664123535156</v>
      </c>
      <c r="M40" s="127">
        <v>100</v>
      </c>
      <c r="N40" s="127">
        <v>98.148147583007813</v>
      </c>
      <c r="O40" s="127">
        <v>61.111110687255859</v>
      </c>
      <c r="P40" s="127">
        <v>25.925926208496094</v>
      </c>
      <c r="Q40" s="10"/>
      <c r="R40" s="33" cm="1">
        <f t="array" ref="R40">INDEX(trust_data_quality!$A$2:$P$127,(ROW()-ROW(trust_data_quality!$A$1:$P$1)),MATCH(selected_dq_name,trust_data_quality!$A$1:$P$1,0))</f>
        <v>91.666664123535156</v>
      </c>
      <c r="S40" s="33">
        <f>RANK(R40,R:R,1)+COUNTIF($R$2:R40,R40)-1</f>
        <v>37</v>
      </c>
      <c r="T40" s="10">
        <f t="shared" si="1"/>
        <v>0.9</v>
      </c>
    </row>
    <row r="41" spans="1:20" x14ac:dyDescent="0.25">
      <c r="A41" t="s">
        <v>164</v>
      </c>
      <c r="B41" t="s">
        <v>163</v>
      </c>
      <c r="C41" t="s">
        <v>24</v>
      </c>
      <c r="D41" t="s">
        <v>22</v>
      </c>
      <c r="E41" s="127">
        <v>221</v>
      </c>
      <c r="F41" s="127">
        <v>135</v>
      </c>
      <c r="G41" s="127">
        <v>97.285064697265625</v>
      </c>
      <c r="H41" s="127">
        <v>78.280540466308594</v>
      </c>
      <c r="I41" s="127">
        <v>60.180995941162109</v>
      </c>
      <c r="J41" s="127">
        <v>97.777778625488281</v>
      </c>
      <c r="K41" s="127">
        <v>100</v>
      </c>
      <c r="L41" s="127">
        <v>98.190048217773438</v>
      </c>
      <c r="M41" s="127">
        <v>100</v>
      </c>
      <c r="N41" s="127">
        <v>98.190048217773438</v>
      </c>
      <c r="O41" s="127">
        <v>71.040725708007813</v>
      </c>
      <c r="P41" s="127">
        <v>28.50678825378418</v>
      </c>
      <c r="R41" s="33" cm="1">
        <f t="array" ref="R41">INDEX(trust_data_quality!$A$2:$P$127,(ROW()-ROW(trust_data_quality!$A$1:$P$1)),MATCH(selected_dq_name,trust_data_quality!$A$1:$P$1,0))</f>
        <v>98.190048217773438</v>
      </c>
      <c r="S41" s="33">
        <f>RANK(R41,R:R,1)+COUNTIF($R$2:R41,R41)-1</f>
        <v>110</v>
      </c>
      <c r="T41">
        <f t="shared" si="1"/>
        <v>0.9</v>
      </c>
    </row>
    <row r="42" spans="1:20" x14ac:dyDescent="0.25">
      <c r="A42" s="10" t="s">
        <v>234</v>
      </c>
      <c r="B42" s="10" t="s">
        <v>233</v>
      </c>
      <c r="C42" s="10" t="s">
        <v>21</v>
      </c>
      <c r="D42" s="10" t="s">
        <v>19</v>
      </c>
      <c r="E42" s="127">
        <v>216</v>
      </c>
      <c r="F42" s="127">
        <v>131</v>
      </c>
      <c r="G42" s="127">
        <v>73.148147583007813</v>
      </c>
      <c r="H42" s="127">
        <v>50.462963104248047</v>
      </c>
      <c r="I42" s="127">
        <v>71.759262084960938</v>
      </c>
      <c r="J42" s="127">
        <v>98.473281860351563</v>
      </c>
      <c r="K42" s="127">
        <v>98.611114501953125</v>
      </c>
      <c r="L42" s="127">
        <v>83.796295166015625</v>
      </c>
      <c r="M42" s="127">
        <v>100</v>
      </c>
      <c r="N42" s="127">
        <v>100</v>
      </c>
      <c r="O42" s="127">
        <v>66.203704833984375</v>
      </c>
      <c r="P42" s="127">
        <v>28.703702926635742</v>
      </c>
      <c r="Q42" s="10"/>
      <c r="R42" s="33" cm="1">
        <f t="array" ref="R42">INDEX(trust_data_quality!$A$2:$P$127,(ROW()-ROW(trust_data_quality!$A$1:$P$1)),MATCH(selected_dq_name,trust_data_quality!$A$1:$P$1,0))</f>
        <v>83.796295166015625</v>
      </c>
      <c r="S42" s="33">
        <f>RANK(R42,R:R,1)+COUNTIF($R$2:R42,R42)-1</f>
        <v>19</v>
      </c>
      <c r="T42" s="10">
        <f t="shared" si="1"/>
        <v>0.9</v>
      </c>
    </row>
    <row r="43" spans="1:20" x14ac:dyDescent="0.25">
      <c r="A43" t="s">
        <v>200</v>
      </c>
      <c r="B43" t="s">
        <v>199</v>
      </c>
      <c r="C43" t="s">
        <v>57</v>
      </c>
      <c r="D43" t="s">
        <v>55</v>
      </c>
      <c r="E43" s="127">
        <v>335</v>
      </c>
      <c r="F43" s="127">
        <v>140</v>
      </c>
      <c r="G43" s="127">
        <v>84.477615356445313</v>
      </c>
      <c r="H43" s="127">
        <v>71.641792297363281</v>
      </c>
      <c r="I43" s="127">
        <v>42.3880615234375</v>
      </c>
      <c r="J43" s="127">
        <v>81.428573608398438</v>
      </c>
      <c r="K43" s="127">
        <v>98.507461547851563</v>
      </c>
      <c r="L43" s="127">
        <v>97.014923095703125</v>
      </c>
      <c r="M43" s="127">
        <v>100</v>
      </c>
      <c r="N43" s="127">
        <v>98.80596923828125</v>
      </c>
      <c r="O43" s="127">
        <v>68.059700012207031</v>
      </c>
      <c r="P43" s="127">
        <v>61.19403076171875</v>
      </c>
      <c r="R43" s="33" cm="1">
        <f t="array" ref="R43">INDEX(trust_data_quality!$A$2:$P$127,(ROW()-ROW(trust_data_quality!$A$1:$P$1)),MATCH(selected_dq_name,trust_data_quality!$A$1:$P$1,0))</f>
        <v>97.014923095703125</v>
      </c>
      <c r="S43" s="33">
        <f>RANK(R43,R:R,1)+COUNTIF($R$2:R43,R43)-1</f>
        <v>91</v>
      </c>
      <c r="T43">
        <f t="shared" si="1"/>
        <v>0.9</v>
      </c>
    </row>
    <row r="44" spans="1:20" x14ac:dyDescent="0.25">
      <c r="A44" s="10" t="s">
        <v>112</v>
      </c>
      <c r="B44" s="10" t="s">
        <v>111</v>
      </c>
      <c r="C44" s="10" t="s">
        <v>512</v>
      </c>
      <c r="D44" s="10" t="s">
        <v>70</v>
      </c>
      <c r="E44" s="127">
        <v>117</v>
      </c>
      <c r="F44" s="127">
        <v>89</v>
      </c>
      <c r="G44" s="127">
        <v>93.162391662597656</v>
      </c>
      <c r="H44" s="127">
        <v>92.307693481445313</v>
      </c>
      <c r="I44" s="127">
        <v>82.905982971191406</v>
      </c>
      <c r="J44" s="127">
        <v>100</v>
      </c>
      <c r="K44" s="127">
        <v>99.145301818847656</v>
      </c>
      <c r="L44" s="127">
        <v>98.290596008300781</v>
      </c>
      <c r="M44" s="127">
        <v>100</v>
      </c>
      <c r="N44" s="127">
        <v>95.726493835449219</v>
      </c>
      <c r="O44" s="127">
        <v>64.102561950683594</v>
      </c>
      <c r="P44" s="127">
        <v>0.85470086336135864</v>
      </c>
      <c r="Q44" s="10"/>
      <c r="R44" s="33" cm="1">
        <f t="array" ref="R44">INDEX(trust_data_quality!$A$2:$P$127,(ROW()-ROW(trust_data_quality!$A$1:$P$1)),MATCH(selected_dq_name,trust_data_quality!$A$1:$P$1,0))</f>
        <v>98.290596008300781</v>
      </c>
      <c r="S44" s="33">
        <f>RANK(R44,R:R,1)+COUNTIF($R$2:R44,R44)-1</f>
        <v>113</v>
      </c>
      <c r="T44" s="10">
        <f t="shared" si="1"/>
        <v>0.9</v>
      </c>
    </row>
    <row r="45" spans="1:20" x14ac:dyDescent="0.25">
      <c r="A45" t="s">
        <v>320</v>
      </c>
      <c r="B45" t="s">
        <v>319</v>
      </c>
      <c r="C45" t="s">
        <v>39</v>
      </c>
      <c r="D45" t="s">
        <v>37</v>
      </c>
      <c r="E45" s="127">
        <v>232</v>
      </c>
      <c r="F45" s="127">
        <v>118</v>
      </c>
      <c r="G45" s="127">
        <v>72.413795471191406</v>
      </c>
      <c r="H45" s="127">
        <v>51.724136352539063</v>
      </c>
      <c r="I45" s="127">
        <v>58.620689392089844</v>
      </c>
      <c r="J45" s="127">
        <v>96.61016845703125</v>
      </c>
      <c r="K45" s="127">
        <v>99.568962097167969</v>
      </c>
      <c r="L45" s="127">
        <v>88.362068176269531</v>
      </c>
      <c r="M45" s="127">
        <v>100</v>
      </c>
      <c r="N45" s="127">
        <v>96.982757568359375</v>
      </c>
      <c r="O45" s="127">
        <v>67.672416687011719</v>
      </c>
      <c r="P45" s="127">
        <v>15.086206436157227</v>
      </c>
      <c r="R45" s="33" cm="1">
        <f t="array" ref="R45">INDEX(trust_data_quality!$A$2:$P$127,(ROW()-ROW(trust_data_quality!$A$1:$P$1)),MATCH(selected_dq_name,trust_data_quality!$A$1:$P$1,0))</f>
        <v>88.362068176269531</v>
      </c>
      <c r="S45" s="33">
        <f>RANK(R45,R:R,1)+COUNTIF($R$2:R45,R45)-1</f>
        <v>25</v>
      </c>
      <c r="T45">
        <f t="shared" si="1"/>
        <v>0.9</v>
      </c>
    </row>
    <row r="46" spans="1:20" x14ac:dyDescent="0.25">
      <c r="A46" s="10" t="s">
        <v>254</v>
      </c>
      <c r="B46" s="10" t="s">
        <v>253</v>
      </c>
      <c r="C46" s="10" t="s">
        <v>77</v>
      </c>
      <c r="D46" s="10" t="s">
        <v>75</v>
      </c>
      <c r="E46" s="127">
        <v>629</v>
      </c>
      <c r="F46" s="127">
        <v>374</v>
      </c>
      <c r="G46" s="127">
        <v>93.958663940429688</v>
      </c>
      <c r="H46" s="127">
        <v>95.071540832519531</v>
      </c>
      <c r="I46" s="127">
        <v>99.364067077636719</v>
      </c>
      <c r="J46" s="127">
        <v>100</v>
      </c>
      <c r="K46" s="127">
        <v>83.942764282226563</v>
      </c>
      <c r="L46" s="127">
        <v>99.523056030273438</v>
      </c>
      <c r="M46" s="127">
        <v>100</v>
      </c>
      <c r="N46" s="127">
        <v>99.046104431152344</v>
      </c>
      <c r="O46" s="127">
        <v>82.193962097167969</v>
      </c>
      <c r="P46" s="127">
        <v>1.4308426380157471</v>
      </c>
      <c r="Q46" s="10"/>
      <c r="R46" s="33" cm="1">
        <f t="array" ref="R46">INDEX(trust_data_quality!$A$2:$P$127,(ROW()-ROW(trust_data_quality!$A$1:$P$1)),MATCH(selected_dq_name,trust_data_quality!$A$1:$P$1,0))</f>
        <v>99.523056030273438</v>
      </c>
      <c r="S46" s="33">
        <f>RANK(R46,R:R,1)+COUNTIF($R$2:R46,R46)-1</f>
        <v>126</v>
      </c>
      <c r="T46" s="10">
        <f t="shared" si="1"/>
        <v>0.9</v>
      </c>
    </row>
    <row r="47" spans="1:20" x14ac:dyDescent="0.25">
      <c r="A47" t="s">
        <v>184</v>
      </c>
      <c r="B47" t="s">
        <v>183</v>
      </c>
      <c r="C47" t="s">
        <v>57</v>
      </c>
      <c r="D47" t="s">
        <v>55</v>
      </c>
      <c r="E47" s="127">
        <v>258</v>
      </c>
      <c r="F47" s="127">
        <v>160</v>
      </c>
      <c r="G47" s="127">
        <v>92.635658264160156</v>
      </c>
      <c r="H47" s="127">
        <v>89.534881591796875</v>
      </c>
      <c r="I47" s="127">
        <v>67.829460144042969</v>
      </c>
      <c r="J47" s="127">
        <v>97.5</v>
      </c>
      <c r="K47" s="127">
        <v>99.612403869628906</v>
      </c>
      <c r="L47" s="127">
        <v>98.449615478515625</v>
      </c>
      <c r="M47" s="127">
        <v>100</v>
      </c>
      <c r="N47" s="127">
        <v>97.286819458007813</v>
      </c>
      <c r="O47" s="127">
        <v>68.99224853515625</v>
      </c>
      <c r="P47" s="127">
        <v>92.248062133789063</v>
      </c>
      <c r="R47" s="33" cm="1">
        <f t="array" ref="R47">INDEX(trust_data_quality!$A$2:$P$127,(ROW()-ROW(trust_data_quality!$A$1:$P$1)),MATCH(selected_dq_name,trust_data_quality!$A$1:$P$1,0))</f>
        <v>98.449615478515625</v>
      </c>
      <c r="S47" s="33">
        <f>RANK(R47,R:R,1)+COUNTIF($R$2:R47,R47)-1</f>
        <v>114</v>
      </c>
      <c r="T47">
        <f t="shared" si="1"/>
        <v>0.9</v>
      </c>
    </row>
    <row r="48" spans="1:20" x14ac:dyDescent="0.25">
      <c r="A48" s="10" t="s">
        <v>122</v>
      </c>
      <c r="B48" s="10" t="s">
        <v>121</v>
      </c>
      <c r="C48" s="10" t="s">
        <v>18</v>
      </c>
      <c r="D48" s="10" t="s">
        <v>16</v>
      </c>
      <c r="E48" s="127">
        <v>350</v>
      </c>
      <c r="F48" s="127">
        <v>269</v>
      </c>
      <c r="G48" s="127">
        <v>88.571426391601563</v>
      </c>
      <c r="H48" s="127">
        <v>86.857139587402344</v>
      </c>
      <c r="I48" s="127">
        <v>83.142860412597656</v>
      </c>
      <c r="J48" s="127">
        <v>97.769515991210938</v>
      </c>
      <c r="K48" s="127">
        <v>97.428573608398438</v>
      </c>
      <c r="L48" s="127">
        <v>98</v>
      </c>
      <c r="M48" s="127">
        <v>100</v>
      </c>
      <c r="N48" s="127">
        <v>100</v>
      </c>
      <c r="O48" s="127">
        <v>59.428569793701172</v>
      </c>
      <c r="P48" s="127">
        <v>61.714286804199219</v>
      </c>
      <c r="Q48" s="10"/>
      <c r="R48" s="33" cm="1">
        <f t="array" ref="R48">INDEX(trust_data_quality!$A$2:$P$127,(ROW()-ROW(trust_data_quality!$A$1:$P$1)),MATCH(selected_dq_name,trust_data_quality!$A$1:$P$1,0))</f>
        <v>98</v>
      </c>
      <c r="S48" s="33">
        <f>RANK(R48,R:R,1)+COUNTIF($R$2:R48,R48)-1</f>
        <v>108</v>
      </c>
      <c r="T48" s="10">
        <f t="shared" si="1"/>
        <v>0.9</v>
      </c>
    </row>
    <row r="49" spans="1:20" x14ac:dyDescent="0.25">
      <c r="A49" t="s">
        <v>148</v>
      </c>
      <c r="B49" t="s">
        <v>147</v>
      </c>
      <c r="C49" t="s">
        <v>18</v>
      </c>
      <c r="D49" t="s">
        <v>16</v>
      </c>
      <c r="E49" s="127">
        <v>359</v>
      </c>
      <c r="F49" s="127">
        <v>210</v>
      </c>
      <c r="G49" s="127">
        <v>68.245124816894531</v>
      </c>
      <c r="H49" s="127">
        <v>77.437324523925781</v>
      </c>
      <c r="I49" s="127">
        <v>64.902503967285156</v>
      </c>
      <c r="J49" s="127">
        <v>91.428573608398438</v>
      </c>
      <c r="K49" s="127">
        <v>99.442893981933594</v>
      </c>
      <c r="L49" s="127">
        <v>80.22283935546875</v>
      </c>
      <c r="M49" s="127">
        <v>100</v>
      </c>
      <c r="N49" s="127">
        <v>98.885795593261719</v>
      </c>
      <c r="O49" s="127">
        <v>54.596099853515625</v>
      </c>
      <c r="P49" s="127">
        <v>34.540390014648438</v>
      </c>
      <c r="R49" s="33" cm="1">
        <f t="array" ref="R49">INDEX(trust_data_quality!$A$2:$P$127,(ROW()-ROW(trust_data_quality!$A$1:$P$1)),MATCH(selected_dq_name,trust_data_quality!$A$1:$P$1,0))</f>
        <v>80.22283935546875</v>
      </c>
      <c r="S49" s="33">
        <f>RANK(R49,R:R,1)+COUNTIF($R$2:R49,R49)-1</f>
        <v>15</v>
      </c>
      <c r="T49">
        <f t="shared" si="1"/>
        <v>0.9</v>
      </c>
    </row>
    <row r="50" spans="1:20" x14ac:dyDescent="0.25">
      <c r="A50" s="10" t="s">
        <v>91</v>
      </c>
      <c r="B50" s="10" t="s">
        <v>90</v>
      </c>
      <c r="C50" s="10" t="s">
        <v>512</v>
      </c>
      <c r="D50" s="10" t="s">
        <v>70</v>
      </c>
      <c r="E50" s="127">
        <v>199</v>
      </c>
      <c r="F50" s="127">
        <v>111</v>
      </c>
      <c r="G50" s="127">
        <v>56.281406402587891</v>
      </c>
      <c r="H50" s="127">
        <v>73.869346618652344</v>
      </c>
      <c r="I50" s="127">
        <v>36.180904388427734</v>
      </c>
      <c r="J50" s="127">
        <v>59.459461212158203</v>
      </c>
      <c r="K50" s="127">
        <v>96.98492431640625</v>
      </c>
      <c r="L50" s="127">
        <v>89.447235107421875</v>
      </c>
      <c r="M50" s="127">
        <v>100</v>
      </c>
      <c r="N50" s="127">
        <v>97.989952087402344</v>
      </c>
      <c r="O50" s="127">
        <v>74.371856689453125</v>
      </c>
      <c r="P50" s="127">
        <v>0.50251257419586182</v>
      </c>
      <c r="Q50" s="10"/>
      <c r="R50" s="33" cm="1">
        <f t="array" ref="R50">INDEX(trust_data_quality!$A$2:$P$127,(ROW()-ROW(trust_data_quality!$A$1:$P$1)),MATCH(selected_dq_name,trust_data_quality!$A$1:$P$1,0))</f>
        <v>89.447235107421875</v>
      </c>
      <c r="S50" s="33">
        <f>RANK(R50,R:R,1)+COUNTIF($R$2:R50,R50)-1</f>
        <v>28</v>
      </c>
      <c r="T50" s="10">
        <f t="shared" si="1"/>
        <v>0.9</v>
      </c>
    </row>
    <row r="51" spans="1:20" x14ac:dyDescent="0.25">
      <c r="A51" t="s">
        <v>296</v>
      </c>
      <c r="B51" t="s">
        <v>295</v>
      </c>
      <c r="C51" t="s">
        <v>36</v>
      </c>
      <c r="D51" t="s">
        <v>34</v>
      </c>
      <c r="E51" s="127">
        <v>211</v>
      </c>
      <c r="F51" s="127">
        <v>143</v>
      </c>
      <c r="G51" s="127">
        <v>75.355453491210938</v>
      </c>
      <c r="H51" s="127">
        <v>75.355453491210938</v>
      </c>
      <c r="I51" s="127">
        <v>68.246444702148438</v>
      </c>
      <c r="J51" s="127">
        <v>98.601402282714844</v>
      </c>
      <c r="K51" s="127">
        <v>100</v>
      </c>
      <c r="L51" s="127">
        <v>84.834121704101563</v>
      </c>
      <c r="M51" s="127">
        <v>100</v>
      </c>
      <c r="N51" s="127">
        <v>96.682464599609375</v>
      </c>
      <c r="O51" s="127">
        <v>59.715641021728516</v>
      </c>
      <c r="P51" s="127">
        <v>19.90521240234375</v>
      </c>
      <c r="R51" s="33" cm="1">
        <f t="array" ref="R51">INDEX(trust_data_quality!$A$2:$P$127,(ROW()-ROW(trust_data_quality!$A$1:$P$1)),MATCH(selected_dq_name,trust_data_quality!$A$1:$P$1,0))</f>
        <v>84.834121704101563</v>
      </c>
      <c r="S51" s="33">
        <f>RANK(R51,R:R,1)+COUNTIF($R$2:R51,R51)-1</f>
        <v>20</v>
      </c>
      <c r="T51">
        <f t="shared" si="1"/>
        <v>0.9</v>
      </c>
    </row>
    <row r="52" spans="1:20" x14ac:dyDescent="0.25">
      <c r="A52" s="10" t="s">
        <v>81</v>
      </c>
      <c r="B52" s="10" t="s">
        <v>80</v>
      </c>
      <c r="C52" s="10" t="s">
        <v>30</v>
      </c>
      <c r="D52" s="10" t="s">
        <v>28</v>
      </c>
      <c r="E52" s="127">
        <v>565</v>
      </c>
      <c r="F52" s="127">
        <v>335</v>
      </c>
      <c r="G52" s="127">
        <v>74.336280822753906</v>
      </c>
      <c r="H52" s="127">
        <v>86.0177001953125</v>
      </c>
      <c r="I52" s="127">
        <v>78.584068298339844</v>
      </c>
      <c r="J52" s="127">
        <v>97.014923095703125</v>
      </c>
      <c r="K52" s="127">
        <v>100</v>
      </c>
      <c r="L52" s="127">
        <v>91.327430725097656</v>
      </c>
      <c r="M52" s="127">
        <v>100</v>
      </c>
      <c r="N52" s="127">
        <v>98.230087280273438</v>
      </c>
      <c r="O52" s="127">
        <v>63.362831115722656</v>
      </c>
      <c r="P52" s="127">
        <v>15.575221061706543</v>
      </c>
      <c r="Q52" s="10"/>
      <c r="R52" s="33" cm="1">
        <f t="array" ref="R52">INDEX(trust_data_quality!$A$2:$P$127,(ROW()-ROW(trust_data_quality!$A$1:$P$1)),MATCH(selected_dq_name,trust_data_quality!$A$1:$P$1,0))</f>
        <v>91.327430725097656</v>
      </c>
      <c r="S52" s="33">
        <f>RANK(R52,R:R,1)+COUNTIF($R$2:R52,R52)-1</f>
        <v>35</v>
      </c>
      <c r="T52" s="10">
        <f t="shared" si="1"/>
        <v>0.9</v>
      </c>
    </row>
    <row r="53" spans="1:20" x14ac:dyDescent="0.25">
      <c r="A53" t="s">
        <v>242</v>
      </c>
      <c r="B53" t="s">
        <v>241</v>
      </c>
      <c r="C53" t="s">
        <v>36</v>
      </c>
      <c r="D53" t="s">
        <v>34</v>
      </c>
      <c r="E53" s="127">
        <v>266</v>
      </c>
      <c r="F53" s="127">
        <v>120</v>
      </c>
      <c r="G53" s="127">
        <v>80.451126098632813</v>
      </c>
      <c r="H53" s="127">
        <v>67.669174194335938</v>
      </c>
      <c r="I53" s="127">
        <v>46.616542816162109</v>
      </c>
      <c r="J53" s="127">
        <v>95.833335876464844</v>
      </c>
      <c r="K53" s="127">
        <v>86.466163635253906</v>
      </c>
      <c r="L53" s="127">
        <v>81.578948974609375</v>
      </c>
      <c r="M53" s="127">
        <v>100</v>
      </c>
      <c r="N53" s="127">
        <v>96.2406005859375</v>
      </c>
      <c r="O53" s="127">
        <v>53.383457183837891</v>
      </c>
      <c r="P53" s="127">
        <v>29.699247360229492</v>
      </c>
      <c r="R53" s="33" cm="1">
        <f t="array" ref="R53">INDEX(trust_data_quality!$A$2:$P$127,(ROW()-ROW(trust_data_quality!$A$1:$P$1)),MATCH(selected_dq_name,trust_data_quality!$A$1:$P$1,0))</f>
        <v>81.578948974609375</v>
      </c>
      <c r="S53" s="33">
        <f>RANK(R53,R:R,1)+COUNTIF($R$2:R53,R53)-1</f>
        <v>17</v>
      </c>
      <c r="T53">
        <f t="shared" si="1"/>
        <v>0.9</v>
      </c>
    </row>
    <row r="54" spans="1:20" x14ac:dyDescent="0.25">
      <c r="A54" s="10" t="s">
        <v>104</v>
      </c>
      <c r="B54" s="10" t="s">
        <v>103</v>
      </c>
      <c r="C54" s="10" t="s">
        <v>27</v>
      </c>
      <c r="D54" s="10" t="s">
        <v>25</v>
      </c>
      <c r="E54" s="127">
        <v>625</v>
      </c>
      <c r="F54" s="127">
        <v>415</v>
      </c>
      <c r="G54" s="127">
        <v>91.839996337890625</v>
      </c>
      <c r="H54" s="127">
        <v>69.599998474121094</v>
      </c>
      <c r="I54" s="127">
        <v>64.480003356933594</v>
      </c>
      <c r="J54" s="127">
        <v>95.18072509765625</v>
      </c>
      <c r="K54" s="127">
        <v>96.800003051757813</v>
      </c>
      <c r="L54" s="127">
        <v>98.080001831054688</v>
      </c>
      <c r="M54" s="127">
        <v>100</v>
      </c>
      <c r="N54" s="127">
        <v>97.44000244140625</v>
      </c>
      <c r="O54" s="127">
        <v>60.799999237060547</v>
      </c>
      <c r="P54" s="127">
        <v>37.759998321533203</v>
      </c>
      <c r="Q54" s="10"/>
      <c r="R54" s="33" cm="1">
        <f t="array" ref="R54">INDEX(trust_data_quality!$A$2:$P$127,(ROW()-ROW(trust_data_quality!$A$1:$P$1)),MATCH(selected_dq_name,trust_data_quality!$A$1:$P$1,0))</f>
        <v>98.080001831054688</v>
      </c>
      <c r="S54" s="33">
        <f>RANK(R54,R:R,1)+COUNTIF($R$2:R54,R54)-1</f>
        <v>109</v>
      </c>
      <c r="T54" s="10">
        <f t="shared" si="1"/>
        <v>0.9</v>
      </c>
    </row>
    <row r="55" spans="1:20" x14ac:dyDescent="0.25">
      <c r="A55" t="s">
        <v>124</v>
      </c>
      <c r="B55" t="s">
        <v>123</v>
      </c>
      <c r="C55" t="s">
        <v>18</v>
      </c>
      <c r="D55" t="s">
        <v>16</v>
      </c>
      <c r="E55" s="127">
        <v>148</v>
      </c>
      <c r="F55" s="127">
        <v>107</v>
      </c>
      <c r="G55" s="127">
        <v>92.56756591796875</v>
      </c>
      <c r="H55" s="127">
        <v>92.56756591796875</v>
      </c>
      <c r="I55" s="127">
        <v>75.675674438476563</v>
      </c>
      <c r="J55" s="127">
        <v>100</v>
      </c>
      <c r="K55" s="127">
        <v>99.324325561523438</v>
      </c>
      <c r="L55" s="127">
        <v>93.243240356445313</v>
      </c>
      <c r="M55" s="127">
        <v>100</v>
      </c>
      <c r="N55" s="127">
        <v>96.621620178222656</v>
      </c>
      <c r="O55" s="127">
        <v>65.540542602539063</v>
      </c>
      <c r="P55" s="127">
        <v>83.108108520507813</v>
      </c>
      <c r="R55" s="33" cm="1">
        <f t="array" ref="R55">INDEX(trust_data_quality!$A$2:$P$127,(ROW()-ROW(trust_data_quality!$A$1:$P$1)),MATCH(selected_dq_name,trust_data_quality!$A$1:$P$1,0))</f>
        <v>93.243240356445313</v>
      </c>
      <c r="S55" s="33">
        <f>RANK(R55,R:R,1)+COUNTIF($R$2:R55,R55)-1</f>
        <v>48</v>
      </c>
      <c r="T55">
        <f t="shared" si="1"/>
        <v>0.9</v>
      </c>
    </row>
    <row r="56" spans="1:20" x14ac:dyDescent="0.25">
      <c r="A56" s="10" t="s">
        <v>314</v>
      </c>
      <c r="B56" s="10" t="s">
        <v>313</v>
      </c>
      <c r="C56" s="10" t="s">
        <v>77</v>
      </c>
      <c r="D56" s="10" t="s">
        <v>75</v>
      </c>
      <c r="E56" s="127">
        <v>439</v>
      </c>
      <c r="F56" s="127">
        <v>281</v>
      </c>
      <c r="G56" s="127">
        <v>98.633255004882813</v>
      </c>
      <c r="H56" s="127">
        <v>96.355354309082031</v>
      </c>
      <c r="I56" s="127">
        <v>74.487472534179688</v>
      </c>
      <c r="J56" s="127">
        <v>100</v>
      </c>
      <c r="K56" s="127">
        <v>98.17767333984375</v>
      </c>
      <c r="L56" s="127">
        <v>97.038726806640625</v>
      </c>
      <c r="M56" s="127">
        <v>100</v>
      </c>
      <c r="N56" s="127">
        <v>98.861045837402344</v>
      </c>
      <c r="O56" s="127">
        <v>75.854217529296875</v>
      </c>
      <c r="P56" s="127">
        <v>53.986331939697266</v>
      </c>
      <c r="Q56" s="10"/>
      <c r="R56" s="33" cm="1">
        <f t="array" ref="R56">INDEX(trust_data_quality!$A$2:$P$127,(ROW()-ROW(trust_data_quality!$A$1:$P$1)),MATCH(selected_dq_name,trust_data_quality!$A$1:$P$1,0))</f>
        <v>97.038726806640625</v>
      </c>
      <c r="S56" s="33">
        <f>RANK(R56,R:R,1)+COUNTIF($R$2:R56,R56)-1</f>
        <v>92</v>
      </c>
      <c r="T56" s="10">
        <f t="shared" si="1"/>
        <v>0.9</v>
      </c>
    </row>
    <row r="57" spans="1:20" x14ac:dyDescent="0.25">
      <c r="A57" t="s">
        <v>140</v>
      </c>
      <c r="B57" t="s">
        <v>139</v>
      </c>
      <c r="C57" t="s">
        <v>27</v>
      </c>
      <c r="D57" t="s">
        <v>25</v>
      </c>
      <c r="E57" s="127">
        <v>136</v>
      </c>
      <c r="F57" s="127">
        <v>99</v>
      </c>
      <c r="G57" s="127">
        <v>80.147056579589844</v>
      </c>
      <c r="H57" s="127">
        <v>96.323532104492188</v>
      </c>
      <c r="I57" s="127">
        <v>75.73529052734375</v>
      </c>
      <c r="J57" s="127">
        <v>100</v>
      </c>
      <c r="K57" s="127">
        <v>99.26470947265625</v>
      </c>
      <c r="L57" s="127">
        <v>93.382354736328125</v>
      </c>
      <c r="M57" s="127">
        <v>100</v>
      </c>
      <c r="N57" s="127">
        <v>96.323532104492188</v>
      </c>
      <c r="O57" s="127">
        <v>73.529411315917969</v>
      </c>
      <c r="P57" s="127">
        <v>16.176469802856445</v>
      </c>
      <c r="R57" s="33" cm="1">
        <f t="array" ref="R57">INDEX(trust_data_quality!$A$2:$P$127,(ROW()-ROW(trust_data_quality!$A$1:$P$1)),MATCH(selected_dq_name,trust_data_quality!$A$1:$P$1,0))</f>
        <v>93.382354736328125</v>
      </c>
      <c r="S57" s="33">
        <f>RANK(R57,R:R,1)+COUNTIF($R$2:R57,R57)-1</f>
        <v>52</v>
      </c>
      <c r="T57">
        <f t="shared" si="1"/>
        <v>0.9</v>
      </c>
    </row>
    <row r="58" spans="1:20" x14ac:dyDescent="0.25">
      <c r="A58" s="10" t="s">
        <v>216</v>
      </c>
      <c r="B58" s="10" t="s">
        <v>215</v>
      </c>
      <c r="C58" s="10" t="s">
        <v>24</v>
      </c>
      <c r="D58" s="10" t="s">
        <v>22</v>
      </c>
      <c r="E58" s="127">
        <v>377</v>
      </c>
      <c r="F58" s="127">
        <v>238</v>
      </c>
      <c r="G58" s="127">
        <v>95.490715026855469</v>
      </c>
      <c r="H58" s="127">
        <v>88.06365966796875</v>
      </c>
      <c r="I58" s="127">
        <v>62.599468231201172</v>
      </c>
      <c r="J58" s="127">
        <v>99.159660339355469</v>
      </c>
      <c r="K58" s="127">
        <v>98.408485412597656</v>
      </c>
      <c r="L58" s="127">
        <v>98.938995361328125</v>
      </c>
      <c r="M58" s="127">
        <v>100</v>
      </c>
      <c r="N58" s="127">
        <v>98.143234252929688</v>
      </c>
      <c r="O58" s="127">
        <v>44.031829833984375</v>
      </c>
      <c r="P58" s="127">
        <v>45.888595581054688</v>
      </c>
      <c r="Q58" s="10"/>
      <c r="R58" s="33" cm="1">
        <f t="array" ref="R58">INDEX(trust_data_quality!$A$2:$P$127,(ROW()-ROW(trust_data_quality!$A$1:$P$1)),MATCH(selected_dq_name,trust_data_quality!$A$1:$P$1,0))</f>
        <v>98.938995361328125</v>
      </c>
      <c r="S58" s="33">
        <f>RANK(R58,R:R,1)+COUNTIF($R$2:R58,R58)-1</f>
        <v>122</v>
      </c>
      <c r="T58" s="10">
        <f t="shared" si="1"/>
        <v>0.9</v>
      </c>
    </row>
    <row r="59" spans="1:20" x14ac:dyDescent="0.25">
      <c r="A59" t="s">
        <v>280</v>
      </c>
      <c r="B59" t="s">
        <v>279</v>
      </c>
      <c r="C59" t="s">
        <v>54</v>
      </c>
      <c r="D59" t="s">
        <v>52</v>
      </c>
      <c r="E59" s="127">
        <v>293</v>
      </c>
      <c r="F59" s="127">
        <v>148</v>
      </c>
      <c r="G59" s="127">
        <v>83.276451110839844</v>
      </c>
      <c r="H59" s="127">
        <v>84.641639709472656</v>
      </c>
      <c r="I59" s="127">
        <v>51.877132415771484</v>
      </c>
      <c r="J59" s="127">
        <v>97.297294616699219</v>
      </c>
      <c r="K59" s="127">
        <v>97.269622802734375</v>
      </c>
      <c r="L59" s="127">
        <v>76.450515747070313</v>
      </c>
      <c r="M59" s="127">
        <v>100</v>
      </c>
      <c r="N59" s="127">
        <v>94.197952270507813</v>
      </c>
      <c r="O59" s="127">
        <v>56.996585845947266</v>
      </c>
      <c r="P59" s="127">
        <v>30.034130096435547</v>
      </c>
      <c r="R59" s="33" cm="1">
        <f t="array" ref="R59">INDEX(trust_data_quality!$A$2:$P$127,(ROW()-ROW(trust_data_quality!$A$1:$P$1)),MATCH(selected_dq_name,trust_data_quality!$A$1:$P$1,0))</f>
        <v>76.450515747070313</v>
      </c>
      <c r="S59" s="33">
        <f>RANK(R59,R:R,1)+COUNTIF($R$2:R59,R59)-1</f>
        <v>11</v>
      </c>
      <c r="T59">
        <f t="shared" si="1"/>
        <v>0.9</v>
      </c>
    </row>
    <row r="60" spans="1:20" x14ac:dyDescent="0.25">
      <c r="A60" s="10" t="s">
        <v>232</v>
      </c>
      <c r="B60" s="10" t="s">
        <v>231</v>
      </c>
      <c r="C60" s="10" t="s">
        <v>48</v>
      </c>
      <c r="D60" s="10" t="s">
        <v>46</v>
      </c>
      <c r="E60" s="127">
        <v>232</v>
      </c>
      <c r="F60" s="127">
        <v>140</v>
      </c>
      <c r="G60" s="127">
        <v>90.086204528808594</v>
      </c>
      <c r="H60" s="127">
        <v>72.844825744628906</v>
      </c>
      <c r="I60" s="127">
        <v>84.482757568359375</v>
      </c>
      <c r="J60" s="127">
        <v>99.285713195800781</v>
      </c>
      <c r="K60" s="127">
        <v>96.120689392089844</v>
      </c>
      <c r="L60" s="127">
        <v>96.551727294921875</v>
      </c>
      <c r="M60" s="127">
        <v>100</v>
      </c>
      <c r="N60" s="127">
        <v>97.413795471191406</v>
      </c>
      <c r="O60" s="127">
        <v>32.758621215820313</v>
      </c>
      <c r="P60" s="127">
        <v>26.29310417175293</v>
      </c>
      <c r="Q60" s="10"/>
      <c r="R60" s="33" cm="1">
        <f t="array" ref="R60">INDEX(trust_data_quality!$A$2:$P$127,(ROW()-ROW(trust_data_quality!$A$1:$P$1)),MATCH(selected_dq_name,trust_data_quality!$A$1:$P$1,0))</f>
        <v>96.551727294921875</v>
      </c>
      <c r="S60" s="33">
        <f>RANK(R60,R:R,1)+COUNTIF($R$2:R60,R60)-1</f>
        <v>85</v>
      </c>
      <c r="T60" s="10">
        <f t="shared" si="1"/>
        <v>0.9</v>
      </c>
    </row>
    <row r="61" spans="1:20" x14ac:dyDescent="0.25">
      <c r="A61" t="s">
        <v>108</v>
      </c>
      <c r="B61" t="s">
        <v>107</v>
      </c>
      <c r="C61" t="s">
        <v>42</v>
      </c>
      <c r="D61" t="s">
        <v>40</v>
      </c>
      <c r="E61" s="127">
        <v>126</v>
      </c>
      <c r="F61" s="127">
        <v>60</v>
      </c>
      <c r="G61" s="127">
        <v>85.714286804199219</v>
      </c>
      <c r="H61" s="127">
        <v>44.444442749023438</v>
      </c>
      <c r="I61" s="127">
        <v>84.126983642578125</v>
      </c>
      <c r="J61" s="127">
        <v>98.333335876464844</v>
      </c>
      <c r="K61" s="127">
        <v>97.619049072265625</v>
      </c>
      <c r="L61" s="127">
        <v>51.587303161621094</v>
      </c>
      <c r="M61" s="127">
        <v>100</v>
      </c>
      <c r="N61" s="127">
        <v>98.412696838378906</v>
      </c>
      <c r="O61" s="127">
        <v>73.015876770019531</v>
      </c>
      <c r="P61" s="127">
        <v>7.1428570747375488</v>
      </c>
      <c r="R61" s="33" cm="1">
        <f t="array" ref="R61">INDEX(trust_data_quality!$A$2:$P$127,(ROW()-ROW(trust_data_quality!$A$1:$P$1)),MATCH(selected_dq_name,trust_data_quality!$A$1:$P$1,0))</f>
        <v>51.587303161621094</v>
      </c>
      <c r="S61" s="33">
        <f>RANK(R61,R:R,1)+COUNTIF($R$2:R61,R61)-1</f>
        <v>4</v>
      </c>
      <c r="T61">
        <f t="shared" si="1"/>
        <v>0.9</v>
      </c>
    </row>
    <row r="62" spans="1:20" x14ac:dyDescent="0.25">
      <c r="A62" s="10" t="s">
        <v>286</v>
      </c>
      <c r="B62" s="10" t="s">
        <v>285</v>
      </c>
      <c r="C62" s="10" t="s">
        <v>48</v>
      </c>
      <c r="D62" s="10" t="s">
        <v>46</v>
      </c>
      <c r="E62" s="127">
        <v>286</v>
      </c>
      <c r="F62" s="127">
        <v>182</v>
      </c>
      <c r="G62" s="127">
        <v>96.8531494140625</v>
      </c>
      <c r="H62" s="127">
        <v>97.552444458007813</v>
      </c>
      <c r="I62" s="127">
        <v>72.37762451171875</v>
      </c>
      <c r="J62" s="127">
        <v>98.901100158691406</v>
      </c>
      <c r="K62" s="127">
        <v>99.650352478027344</v>
      </c>
      <c r="L62" s="127">
        <v>96.503494262695313</v>
      </c>
      <c r="M62" s="127">
        <v>100</v>
      </c>
      <c r="N62" s="127">
        <v>97.552444458007813</v>
      </c>
      <c r="O62" s="127">
        <v>73.42657470703125</v>
      </c>
      <c r="P62" s="127">
        <v>86.713287353515625</v>
      </c>
      <c r="Q62" s="10"/>
      <c r="R62" s="33" cm="1">
        <f t="array" ref="R62">INDEX(trust_data_quality!$A$2:$P$127,(ROW()-ROW(trust_data_quality!$A$1:$P$1)),MATCH(selected_dq_name,trust_data_quality!$A$1:$P$1,0))</f>
        <v>96.503494262695313</v>
      </c>
      <c r="S62" s="33">
        <f>RANK(R62,R:R,1)+COUNTIF($R$2:R62,R62)-1</f>
        <v>83</v>
      </c>
      <c r="T62" s="10">
        <f t="shared" si="1"/>
        <v>0.9</v>
      </c>
    </row>
    <row r="63" spans="1:20" x14ac:dyDescent="0.25">
      <c r="A63" t="s">
        <v>162</v>
      </c>
      <c r="B63" t="s">
        <v>161</v>
      </c>
      <c r="C63" t="s">
        <v>24</v>
      </c>
      <c r="D63" t="s">
        <v>22</v>
      </c>
      <c r="E63" s="127">
        <v>185</v>
      </c>
      <c r="F63" s="127">
        <v>84</v>
      </c>
      <c r="G63" s="127">
        <v>82.162162780761719</v>
      </c>
      <c r="H63" s="127">
        <v>78.918922424316406</v>
      </c>
      <c r="I63" s="127">
        <v>47.027027130126953</v>
      </c>
      <c r="J63" s="127">
        <v>92.857139587402344</v>
      </c>
      <c r="K63" s="127">
        <v>96.756759643554688</v>
      </c>
      <c r="L63" s="127">
        <v>90.270271301269531</v>
      </c>
      <c r="M63" s="127">
        <v>100</v>
      </c>
      <c r="N63" s="127">
        <v>99.459457397460938</v>
      </c>
      <c r="O63" s="127">
        <v>57.297298431396484</v>
      </c>
      <c r="P63" s="127">
        <v>78.378379821777344</v>
      </c>
      <c r="R63" s="33" cm="1">
        <f t="array" ref="R63">INDEX(trust_data_quality!$A$2:$P$127,(ROW()-ROW(trust_data_quality!$A$1:$P$1)),MATCH(selected_dq_name,trust_data_quality!$A$1:$P$1,0))</f>
        <v>90.270271301269531</v>
      </c>
      <c r="S63" s="33">
        <f>RANK(R63,R:R,1)+COUNTIF($R$2:R63,R63)-1</f>
        <v>32</v>
      </c>
      <c r="T63">
        <f t="shared" si="1"/>
        <v>0.9</v>
      </c>
    </row>
    <row r="64" spans="1:20" x14ac:dyDescent="0.25">
      <c r="A64" s="10" t="s">
        <v>236</v>
      </c>
      <c r="B64" s="10" t="s">
        <v>235</v>
      </c>
      <c r="C64" s="10" t="s">
        <v>21</v>
      </c>
      <c r="D64" s="10" t="s">
        <v>19</v>
      </c>
      <c r="E64" s="127">
        <v>215</v>
      </c>
      <c r="F64" s="127">
        <v>146</v>
      </c>
      <c r="G64" s="127">
        <v>98.604652404785156</v>
      </c>
      <c r="H64" s="127">
        <v>94.418601989746094</v>
      </c>
      <c r="I64" s="127">
        <v>68.837211608886719</v>
      </c>
      <c r="J64" s="127">
        <v>100</v>
      </c>
      <c r="K64" s="127">
        <v>99.069770812988281</v>
      </c>
      <c r="L64" s="127">
        <v>99.069770812988281</v>
      </c>
      <c r="M64" s="127">
        <v>100</v>
      </c>
      <c r="N64" s="127">
        <v>99.069770812988281</v>
      </c>
      <c r="O64" s="127">
        <v>66.511627197265625</v>
      </c>
      <c r="P64" s="127">
        <v>96.744186401367188</v>
      </c>
      <c r="Q64" s="10"/>
      <c r="R64" s="33" cm="1">
        <f t="array" ref="R64">INDEX(trust_data_quality!$A$2:$P$127,(ROW()-ROW(trust_data_quality!$A$1:$P$1)),MATCH(selected_dq_name,trust_data_quality!$A$1:$P$1,0))</f>
        <v>99.069770812988281</v>
      </c>
      <c r="S64" s="33">
        <f>RANK(R64,R:R,1)+COUNTIF($R$2:R64,R64)-1</f>
        <v>123</v>
      </c>
      <c r="T64" s="10">
        <f t="shared" si="1"/>
        <v>0.9</v>
      </c>
    </row>
    <row r="65" spans="1:20" x14ac:dyDescent="0.25">
      <c r="A65" t="s">
        <v>194</v>
      </c>
      <c r="B65" t="s">
        <v>193</v>
      </c>
      <c r="C65" t="s">
        <v>33</v>
      </c>
      <c r="D65" t="s">
        <v>31</v>
      </c>
      <c r="E65" s="127">
        <v>337</v>
      </c>
      <c r="F65" s="127">
        <v>185</v>
      </c>
      <c r="G65" s="127">
        <v>96.142433166503906</v>
      </c>
      <c r="H65" s="127">
        <v>90.801185607910156</v>
      </c>
      <c r="I65" s="127">
        <v>62.017803192138672</v>
      </c>
      <c r="J65" s="127">
        <v>100</v>
      </c>
      <c r="K65" s="127">
        <v>96.735908508300781</v>
      </c>
      <c r="L65" s="127">
        <v>95.548957824707031</v>
      </c>
      <c r="M65" s="127">
        <v>100</v>
      </c>
      <c r="N65" s="127">
        <v>99.703262329101563</v>
      </c>
      <c r="O65" s="127">
        <v>70.326408386230469</v>
      </c>
      <c r="P65" s="127">
        <v>82.789314270019531</v>
      </c>
      <c r="R65" s="33" cm="1">
        <f t="array" ref="R65">INDEX(trust_data_quality!$A$2:$P$127,(ROW()-ROW(trust_data_quality!$A$1:$P$1)),MATCH(selected_dq_name,trust_data_quality!$A$1:$P$1,0))</f>
        <v>95.548957824707031</v>
      </c>
      <c r="S65" s="33">
        <f>RANK(R65,R:R,1)+COUNTIF($R$2:R65,R65)-1</f>
        <v>73</v>
      </c>
      <c r="T65">
        <f t="shared" si="1"/>
        <v>0.9</v>
      </c>
    </row>
    <row r="66" spans="1:20" x14ac:dyDescent="0.25">
      <c r="A66" s="10" t="s">
        <v>266</v>
      </c>
      <c r="B66" s="10" t="s">
        <v>265</v>
      </c>
      <c r="C66" s="10" t="s">
        <v>48</v>
      </c>
      <c r="D66" s="10" t="s">
        <v>46</v>
      </c>
      <c r="E66" s="127">
        <v>346</v>
      </c>
      <c r="F66" s="127">
        <v>213</v>
      </c>
      <c r="G66" s="127">
        <v>78.323699951171875</v>
      </c>
      <c r="H66" s="127">
        <v>58.381504058837891</v>
      </c>
      <c r="I66" s="127">
        <v>63.294795989990234</v>
      </c>
      <c r="J66" s="127">
        <v>99.530517578125</v>
      </c>
      <c r="K66" s="127">
        <v>98.554916381835938</v>
      </c>
      <c r="L66" s="127">
        <v>95.086708068847656</v>
      </c>
      <c r="M66" s="127">
        <v>100</v>
      </c>
      <c r="N66" s="127">
        <v>95.664741516113281</v>
      </c>
      <c r="O66" s="127">
        <v>30.057804107666016</v>
      </c>
      <c r="P66" s="127">
        <v>45.953758239746094</v>
      </c>
      <c r="Q66" s="10"/>
      <c r="R66" s="33" cm="1">
        <f t="array" ref="R66">INDEX(trust_data_quality!$A$2:$P$127,(ROW()-ROW(trust_data_quality!$A$1:$P$1)),MATCH(selected_dq_name,trust_data_quality!$A$1:$P$1,0))</f>
        <v>95.086708068847656</v>
      </c>
      <c r="S66" s="33">
        <f>RANK(R66,R:R,1)+COUNTIF($R$2:R66,R66)-1</f>
        <v>66</v>
      </c>
      <c r="T66" s="10">
        <f t="shared" ref="T66:T97" si="2">selected_dq_target</f>
        <v>0.9</v>
      </c>
    </row>
    <row r="67" spans="1:20" x14ac:dyDescent="0.25">
      <c r="A67" t="s">
        <v>310</v>
      </c>
      <c r="B67" t="s">
        <v>309</v>
      </c>
      <c r="C67" t="s">
        <v>21</v>
      </c>
      <c r="D67" t="s">
        <v>19</v>
      </c>
      <c r="E67" s="127">
        <v>552</v>
      </c>
      <c r="F67" s="127">
        <v>393</v>
      </c>
      <c r="G67" s="127">
        <v>88.949272155761719</v>
      </c>
      <c r="H67" s="127">
        <v>92.572463989257813</v>
      </c>
      <c r="I67" s="127">
        <v>75</v>
      </c>
      <c r="J67" s="127">
        <v>99.236640930175781</v>
      </c>
      <c r="K67" s="127">
        <v>99.637680053710938</v>
      </c>
      <c r="L67" s="127">
        <v>97.463768005371094</v>
      </c>
      <c r="M67" s="127">
        <v>100</v>
      </c>
      <c r="N67" s="127">
        <v>93.659423828125</v>
      </c>
      <c r="O67" s="127">
        <v>74.094200134277344</v>
      </c>
      <c r="P67" s="127">
        <v>79.71014404296875</v>
      </c>
      <c r="R67" s="33" cm="1">
        <f t="array" ref="R67">INDEX(trust_data_quality!$A$2:$P$127,(ROW()-ROW(trust_data_quality!$A$1:$P$1)),MATCH(selected_dq_name,trust_data_quality!$A$1:$P$1,0))</f>
        <v>97.463768005371094</v>
      </c>
      <c r="S67" s="33">
        <f>RANK(R67,R:R,1)+COUNTIF($R$2:R67,R67)-1</f>
        <v>101</v>
      </c>
      <c r="T67">
        <f t="shared" si="2"/>
        <v>0.9</v>
      </c>
    </row>
    <row r="68" spans="1:20" x14ac:dyDescent="0.25">
      <c r="A68" s="10" t="s">
        <v>270</v>
      </c>
      <c r="B68" s="10" t="s">
        <v>269</v>
      </c>
      <c r="C68" s="10" t="s">
        <v>66</v>
      </c>
      <c r="D68" s="10" t="s">
        <v>64</v>
      </c>
      <c r="E68" s="127">
        <v>399</v>
      </c>
      <c r="F68" s="127">
        <v>278</v>
      </c>
      <c r="G68" s="127">
        <v>90.726814270019531</v>
      </c>
      <c r="H68" s="127">
        <v>90.726814270019531</v>
      </c>
      <c r="I68" s="127">
        <v>87.468673706054688</v>
      </c>
      <c r="J68" s="127">
        <v>99.28057861328125</v>
      </c>
      <c r="K68" s="127">
        <v>99.248123168945313</v>
      </c>
      <c r="L68" s="127">
        <v>97.493736267089844</v>
      </c>
      <c r="M68" s="127">
        <v>100</v>
      </c>
      <c r="N68" s="127">
        <v>92.982452392578125</v>
      </c>
      <c r="O68" s="127">
        <v>74.436088562011719</v>
      </c>
      <c r="P68" s="127">
        <v>44.110275268554688</v>
      </c>
      <c r="Q68" s="10"/>
      <c r="R68" s="33" cm="1">
        <f t="array" ref="R68">INDEX(trust_data_quality!$A$2:$P$127,(ROW()-ROW(trust_data_quality!$A$1:$P$1)),MATCH(selected_dq_name,trust_data_quality!$A$1:$P$1,0))</f>
        <v>97.493736267089844</v>
      </c>
      <c r="S68" s="33">
        <f>RANK(R68,R:R,1)+COUNTIF($R$2:R68,R68)-1</f>
        <v>103</v>
      </c>
      <c r="T68" s="10">
        <f t="shared" si="2"/>
        <v>0.9</v>
      </c>
    </row>
    <row r="69" spans="1:20" x14ac:dyDescent="0.25">
      <c r="A69" t="s">
        <v>160</v>
      </c>
      <c r="B69" t="s">
        <v>159</v>
      </c>
      <c r="C69" t="s">
        <v>24</v>
      </c>
      <c r="D69" t="s">
        <v>22</v>
      </c>
      <c r="E69" s="127">
        <v>268</v>
      </c>
      <c r="F69" s="127">
        <v>165</v>
      </c>
      <c r="G69" s="127">
        <v>73.507461547851563</v>
      </c>
      <c r="H69" s="127">
        <v>78.358207702636719</v>
      </c>
      <c r="I69" s="127">
        <v>64.925376892089844</v>
      </c>
      <c r="J69" s="127">
        <v>83.030303955078125</v>
      </c>
      <c r="K69" s="127">
        <v>100</v>
      </c>
      <c r="L69" s="127">
        <v>69.402984619140625</v>
      </c>
      <c r="M69" s="127">
        <v>100</v>
      </c>
      <c r="N69" s="127">
        <v>99.253730773925781</v>
      </c>
      <c r="O69" s="127">
        <v>56.343284606933594</v>
      </c>
      <c r="P69" s="127">
        <v>60.447761535644531</v>
      </c>
      <c r="R69" s="33" cm="1">
        <f t="array" ref="R69">INDEX(trust_data_quality!$A$2:$P$127,(ROW()-ROW(trust_data_quality!$A$1:$P$1)),MATCH(selected_dq_name,trust_data_quality!$A$1:$P$1,0))</f>
        <v>69.402984619140625</v>
      </c>
      <c r="S69" s="33">
        <f>RANK(R69,R:R,1)+COUNTIF($R$2:R69,R69)-1</f>
        <v>7</v>
      </c>
      <c r="T69">
        <f t="shared" si="2"/>
        <v>0.9</v>
      </c>
    </row>
    <row r="70" spans="1:20" x14ac:dyDescent="0.25">
      <c r="A70" s="10" t="s">
        <v>204</v>
      </c>
      <c r="B70" s="10" t="s">
        <v>203</v>
      </c>
      <c r="C70" s="10" t="s">
        <v>98</v>
      </c>
      <c r="D70" s="10" t="s">
        <v>49</v>
      </c>
      <c r="E70" s="127">
        <v>406</v>
      </c>
      <c r="F70" s="127">
        <v>228</v>
      </c>
      <c r="G70" s="127">
        <v>83.497535705566406</v>
      </c>
      <c r="H70" s="127">
        <v>90.147781372070313</v>
      </c>
      <c r="I70" s="127">
        <v>59.852218627929688</v>
      </c>
      <c r="J70" s="127">
        <v>99.5614013671875</v>
      </c>
      <c r="K70" s="127">
        <v>96.059112548828125</v>
      </c>
      <c r="L70" s="127">
        <v>96.798027038574219</v>
      </c>
      <c r="M70" s="127">
        <v>100</v>
      </c>
      <c r="N70" s="127">
        <v>99.014778137207031</v>
      </c>
      <c r="O70" s="127">
        <v>49.753696441650391</v>
      </c>
      <c r="P70" s="127">
        <v>35.960590362548828</v>
      </c>
      <c r="Q70" s="10"/>
      <c r="R70" s="33" cm="1">
        <f t="array" ref="R70">INDEX(trust_data_quality!$A$2:$P$127,(ROW()-ROW(trust_data_quality!$A$1:$P$1)),MATCH(selected_dq_name,trust_data_quality!$A$1:$P$1,0))</f>
        <v>96.798027038574219</v>
      </c>
      <c r="S70" s="33">
        <f>RANK(R70,R:R,1)+COUNTIF($R$2:R70,R70)-1</f>
        <v>87</v>
      </c>
      <c r="T70" s="10">
        <f t="shared" si="2"/>
        <v>0.9</v>
      </c>
    </row>
    <row r="71" spans="1:20" x14ac:dyDescent="0.25">
      <c r="A71" t="s">
        <v>178</v>
      </c>
      <c r="B71" t="s">
        <v>177</v>
      </c>
      <c r="C71" t="s">
        <v>69</v>
      </c>
      <c r="D71" t="s">
        <v>67</v>
      </c>
      <c r="E71" s="127">
        <v>343</v>
      </c>
      <c r="F71" s="127">
        <v>215</v>
      </c>
      <c r="G71" s="127">
        <v>88.629737854003906</v>
      </c>
      <c r="H71" s="127">
        <v>97.084548950195313</v>
      </c>
      <c r="I71" s="127">
        <v>64.139938354492188</v>
      </c>
      <c r="J71" s="127">
        <v>97.674415588378906</v>
      </c>
      <c r="K71" s="127">
        <v>87.172012329101563</v>
      </c>
      <c r="L71" s="127">
        <v>95.043731689453125</v>
      </c>
      <c r="M71" s="127">
        <v>100</v>
      </c>
      <c r="N71" s="127">
        <v>88.921279907226563</v>
      </c>
      <c r="O71" s="127">
        <v>72.011665344238281</v>
      </c>
      <c r="P71" s="127">
        <v>86.005828857421875</v>
      </c>
      <c r="R71" s="33" cm="1">
        <f t="array" ref="R71">INDEX(trust_data_quality!$A$2:$P$127,(ROW()-ROW(trust_data_quality!$A$1:$P$1)),MATCH(selected_dq_name,trust_data_quality!$A$1:$P$1,0))</f>
        <v>95.043731689453125</v>
      </c>
      <c r="S71" s="33">
        <f>RANK(R71,R:R,1)+COUNTIF($R$2:R71,R71)-1</f>
        <v>65</v>
      </c>
      <c r="T71">
        <f t="shared" si="2"/>
        <v>0.9</v>
      </c>
    </row>
    <row r="72" spans="1:20" x14ac:dyDescent="0.25">
      <c r="A72" s="10" t="s">
        <v>180</v>
      </c>
      <c r="B72" s="10" t="s">
        <v>179</v>
      </c>
      <c r="C72" s="10" t="s">
        <v>66</v>
      </c>
      <c r="D72" s="10" t="s">
        <v>64</v>
      </c>
      <c r="E72" s="127">
        <v>228</v>
      </c>
      <c r="F72" s="127">
        <v>139</v>
      </c>
      <c r="G72" s="127">
        <v>92.543861389160156</v>
      </c>
      <c r="H72" s="127">
        <v>91.666664123535156</v>
      </c>
      <c r="I72" s="127">
        <v>97.807014465332031</v>
      </c>
      <c r="J72" s="127">
        <v>100</v>
      </c>
      <c r="K72" s="127">
        <v>96.491226196289063</v>
      </c>
      <c r="L72" s="127">
        <v>98.245613098144531</v>
      </c>
      <c r="M72" s="127">
        <v>100</v>
      </c>
      <c r="N72" s="127">
        <v>96.929824829101563</v>
      </c>
      <c r="O72" s="127">
        <v>73.684211730957031</v>
      </c>
      <c r="P72" s="127">
        <v>88.596488952636719</v>
      </c>
      <c r="Q72" s="10"/>
      <c r="R72" s="33" cm="1">
        <f t="array" ref="R72">INDEX(trust_data_quality!$A$2:$P$127,(ROW()-ROW(trust_data_quality!$A$1:$P$1)),MATCH(selected_dq_name,trust_data_quality!$A$1:$P$1,0))</f>
        <v>98.245613098144531</v>
      </c>
      <c r="S72" s="33">
        <f>RANK(R72,R:R,1)+COUNTIF($R$2:R72,R72)-1</f>
        <v>111</v>
      </c>
      <c r="T72" s="10">
        <f t="shared" si="2"/>
        <v>0.9</v>
      </c>
    </row>
    <row r="73" spans="1:20" x14ac:dyDescent="0.25">
      <c r="A73" t="s">
        <v>146</v>
      </c>
      <c r="B73" t="s">
        <v>145</v>
      </c>
      <c r="C73" t="s">
        <v>98</v>
      </c>
      <c r="D73" t="s">
        <v>49</v>
      </c>
      <c r="E73" s="127">
        <v>279</v>
      </c>
      <c r="F73" s="127">
        <v>167</v>
      </c>
      <c r="G73" s="127">
        <v>96.774192810058594</v>
      </c>
      <c r="H73" s="127">
        <v>97.132614135742188</v>
      </c>
      <c r="I73" s="127">
        <v>60.215053558349609</v>
      </c>
      <c r="J73" s="127">
        <v>100</v>
      </c>
      <c r="K73" s="127">
        <v>90.322578430175781</v>
      </c>
      <c r="L73" s="127">
        <v>98.566307067871094</v>
      </c>
      <c r="M73" s="127">
        <v>100</v>
      </c>
      <c r="N73" s="127">
        <v>93.906806945800781</v>
      </c>
      <c r="O73" s="127">
        <v>55.555557250976563</v>
      </c>
      <c r="P73" s="127">
        <v>76.702507019042969</v>
      </c>
      <c r="R73" s="33" cm="1">
        <f t="array" ref="R73">INDEX(trust_data_quality!$A$2:$P$127,(ROW()-ROW(trust_data_quality!$A$1:$P$1)),MATCH(selected_dq_name,trust_data_quality!$A$1:$P$1,0))</f>
        <v>98.566307067871094</v>
      </c>
      <c r="S73" s="33">
        <f>RANK(R73,R:R,1)+COUNTIF($R$2:R73,R73)-1</f>
        <v>116</v>
      </c>
      <c r="T73">
        <f t="shared" si="2"/>
        <v>0.9</v>
      </c>
    </row>
    <row r="74" spans="1:20" x14ac:dyDescent="0.25">
      <c r="A74" s="10" t="s">
        <v>172</v>
      </c>
      <c r="B74" s="10" t="s">
        <v>171</v>
      </c>
      <c r="C74" s="10" t="s">
        <v>98</v>
      </c>
      <c r="D74" s="10" t="s">
        <v>49</v>
      </c>
      <c r="E74" s="127">
        <v>287</v>
      </c>
      <c r="F74" s="127">
        <v>69</v>
      </c>
      <c r="G74" s="127">
        <v>38.327526092529297</v>
      </c>
      <c r="H74" s="127">
        <v>33.449478149414063</v>
      </c>
      <c r="I74" s="127">
        <v>26.132404327392578</v>
      </c>
      <c r="J74" s="127">
        <v>98.550727844238281</v>
      </c>
      <c r="K74" s="127">
        <v>84.320556640625</v>
      </c>
      <c r="L74" s="127">
        <v>43.205574035644531</v>
      </c>
      <c r="M74" s="127">
        <v>100</v>
      </c>
      <c r="N74" s="127">
        <v>96.515678405761719</v>
      </c>
      <c r="O74" s="127">
        <v>22.996515274047852</v>
      </c>
      <c r="P74" s="127">
        <v>31.358884811401367</v>
      </c>
      <c r="Q74" s="10"/>
      <c r="R74" s="33" cm="1">
        <f t="array" ref="R74">INDEX(trust_data_quality!$A$2:$P$127,(ROW()-ROW(trust_data_quality!$A$1:$P$1)),MATCH(selected_dq_name,trust_data_quality!$A$1:$P$1,0))</f>
        <v>43.205574035644531</v>
      </c>
      <c r="S74" s="33">
        <f>RANK(R74,R:R,1)+COUNTIF($R$2:R74,R74)-1</f>
        <v>3</v>
      </c>
      <c r="T74" s="10">
        <f t="shared" si="2"/>
        <v>0.9</v>
      </c>
    </row>
    <row r="75" spans="1:20" x14ac:dyDescent="0.25">
      <c r="A75" t="s">
        <v>106</v>
      </c>
      <c r="B75" t="s">
        <v>105</v>
      </c>
      <c r="C75" t="s">
        <v>42</v>
      </c>
      <c r="D75" t="s">
        <v>40</v>
      </c>
      <c r="E75" s="127">
        <v>262</v>
      </c>
      <c r="F75" s="127">
        <v>198</v>
      </c>
      <c r="G75" s="127">
        <v>93.511451721191406</v>
      </c>
      <c r="H75" s="127">
        <v>93.511451721191406</v>
      </c>
      <c r="I75" s="127">
        <v>79.389312744140625</v>
      </c>
      <c r="J75" s="127">
        <v>98.484848022460938</v>
      </c>
      <c r="K75" s="127">
        <v>99.618324279785156</v>
      </c>
      <c r="L75" s="127">
        <v>93.129768371582031</v>
      </c>
      <c r="M75" s="127">
        <v>100</v>
      </c>
      <c r="N75" s="127">
        <v>96.946563720703125</v>
      </c>
      <c r="O75" s="127">
        <v>66.793891906738281</v>
      </c>
      <c r="P75" s="127">
        <v>78.625953674316406</v>
      </c>
      <c r="R75" s="33" cm="1">
        <f t="array" ref="R75">INDEX(trust_data_quality!$A$2:$P$127,(ROW()-ROW(trust_data_quality!$A$1:$P$1)),MATCH(selected_dq_name,trust_data_quality!$A$1:$P$1,0))</f>
        <v>93.129768371582031</v>
      </c>
      <c r="S75" s="33">
        <f>RANK(R75,R:R,1)+COUNTIF($R$2:R75,R75)-1</f>
        <v>47</v>
      </c>
      <c r="T75">
        <f t="shared" si="2"/>
        <v>0.9</v>
      </c>
    </row>
    <row r="76" spans="1:20" x14ac:dyDescent="0.25">
      <c r="A76" s="10" t="s">
        <v>93</v>
      </c>
      <c r="B76" s="10" t="s">
        <v>92</v>
      </c>
      <c r="C76" s="10" t="s">
        <v>63</v>
      </c>
      <c r="D76" s="10" t="s">
        <v>61</v>
      </c>
      <c r="E76" s="127">
        <v>115</v>
      </c>
      <c r="F76" s="127">
        <v>76</v>
      </c>
      <c r="G76" s="127">
        <v>89.565216064453125</v>
      </c>
      <c r="H76" s="127">
        <v>93.043479919433594</v>
      </c>
      <c r="I76" s="127">
        <v>69.565216064453125</v>
      </c>
      <c r="J76" s="127">
        <v>100</v>
      </c>
      <c r="K76" s="127">
        <v>99.13043212890625</v>
      </c>
      <c r="L76" s="127">
        <v>93.043479919433594</v>
      </c>
      <c r="M76" s="127">
        <v>100</v>
      </c>
      <c r="N76" s="127">
        <v>95.652175903320313</v>
      </c>
      <c r="O76" s="127">
        <v>60.869564056396484</v>
      </c>
      <c r="P76" s="127">
        <v>28.695652008056641</v>
      </c>
      <c r="Q76" s="10"/>
      <c r="R76" s="33" cm="1">
        <f t="array" ref="R76">INDEX(trust_data_quality!$A$2:$P$127,(ROW()-ROW(trust_data_quality!$A$1:$P$1)),MATCH(selected_dq_name,trust_data_quality!$A$1:$P$1,0))</f>
        <v>93.043479919433594</v>
      </c>
      <c r="S76" s="33">
        <f>RANK(R76,R:R,1)+COUNTIF($R$2:R76,R76)-1</f>
        <v>46</v>
      </c>
      <c r="T76" s="10">
        <f t="shared" si="2"/>
        <v>0.9</v>
      </c>
    </row>
    <row r="77" spans="1:20" x14ac:dyDescent="0.25">
      <c r="A77" t="s">
        <v>138</v>
      </c>
      <c r="B77" t="s">
        <v>137</v>
      </c>
      <c r="C77" t="s">
        <v>54</v>
      </c>
      <c r="D77" t="s">
        <v>52</v>
      </c>
      <c r="E77" s="127">
        <v>211</v>
      </c>
      <c r="F77" s="127">
        <v>131</v>
      </c>
      <c r="G77" s="127">
        <v>87.677726745605469</v>
      </c>
      <c r="H77" s="127">
        <v>90.047393798828125</v>
      </c>
      <c r="I77" s="127">
        <v>70.142181396484375</v>
      </c>
      <c r="J77" s="127">
        <v>96.183204650878906</v>
      </c>
      <c r="K77" s="127">
        <v>95.734596252441406</v>
      </c>
      <c r="L77" s="127">
        <v>90.995262145996094</v>
      </c>
      <c r="M77" s="127">
        <v>100</v>
      </c>
      <c r="N77" s="127">
        <v>92.417060852050781</v>
      </c>
      <c r="O77" s="127">
        <v>53.080570220947266</v>
      </c>
      <c r="P77" s="127">
        <v>62.559242248535156</v>
      </c>
      <c r="R77" s="33" cm="1">
        <f t="array" ref="R77">INDEX(trust_data_quality!$A$2:$P$127,(ROW()-ROW(trust_data_quality!$A$1:$P$1)),MATCH(selected_dq_name,trust_data_quality!$A$1:$P$1,0))</f>
        <v>90.995262145996094</v>
      </c>
      <c r="S77" s="33">
        <f>RANK(R77,R:R,1)+COUNTIF($R$2:R77,R77)-1</f>
        <v>34</v>
      </c>
      <c r="T77">
        <f t="shared" si="2"/>
        <v>0.9</v>
      </c>
    </row>
    <row r="78" spans="1:20" x14ac:dyDescent="0.25">
      <c r="A78" s="10" t="s">
        <v>218</v>
      </c>
      <c r="B78" s="10" t="s">
        <v>217</v>
      </c>
      <c r="C78" s="10" t="s">
        <v>30</v>
      </c>
      <c r="D78" s="10" t="s">
        <v>28</v>
      </c>
      <c r="E78" s="127">
        <v>792</v>
      </c>
      <c r="F78" s="127">
        <v>425</v>
      </c>
      <c r="G78" s="127">
        <v>95.202018737792969</v>
      </c>
      <c r="H78" s="127">
        <v>95.580810546875</v>
      </c>
      <c r="I78" s="127">
        <v>54.797981262207031</v>
      </c>
      <c r="J78" s="127">
        <v>97.411766052246094</v>
      </c>
      <c r="K78" s="127">
        <v>99.368690490722656</v>
      </c>
      <c r="L78" s="127">
        <v>96.590911865234375</v>
      </c>
      <c r="M78" s="127">
        <v>100</v>
      </c>
      <c r="N78" s="127">
        <v>98.484848022460938</v>
      </c>
      <c r="O78" s="127">
        <v>65.909088134765625</v>
      </c>
      <c r="P78" s="127">
        <v>93.56060791015625</v>
      </c>
      <c r="Q78" s="10"/>
      <c r="R78" s="33" cm="1">
        <f t="array" ref="R78">INDEX(trust_data_quality!$A$2:$P$127,(ROW()-ROW(trust_data_quality!$A$1:$P$1)),MATCH(selected_dq_name,trust_data_quality!$A$1:$P$1,0))</f>
        <v>96.590911865234375</v>
      </c>
      <c r="S78" s="33">
        <f>RANK(R78,R:R,1)+COUNTIF($R$2:R78,R78)-1</f>
        <v>86</v>
      </c>
      <c r="T78" s="10">
        <f t="shared" si="2"/>
        <v>0.9</v>
      </c>
    </row>
    <row r="79" spans="1:20" x14ac:dyDescent="0.25">
      <c r="A79" t="s">
        <v>238</v>
      </c>
      <c r="B79" t="s">
        <v>237</v>
      </c>
      <c r="C79" t="s">
        <v>54</v>
      </c>
      <c r="D79" t="s">
        <v>52</v>
      </c>
      <c r="E79" s="127">
        <v>127</v>
      </c>
      <c r="F79" s="127">
        <v>83</v>
      </c>
      <c r="G79" s="127">
        <v>93.700790405273438</v>
      </c>
      <c r="H79" s="127">
        <v>94.488189697265625</v>
      </c>
      <c r="I79" s="127">
        <v>65.354331970214844</v>
      </c>
      <c r="J79" s="127">
        <v>96.385543823242188</v>
      </c>
      <c r="K79" s="127">
        <v>99.212600708007813</v>
      </c>
      <c r="L79" s="127">
        <v>94.488189697265625</v>
      </c>
      <c r="M79" s="127">
        <v>100</v>
      </c>
      <c r="N79" s="127">
        <v>97.637794494628906</v>
      </c>
      <c r="O79" s="127">
        <v>69.291336059570313</v>
      </c>
      <c r="P79" s="127">
        <v>79.527557373046875</v>
      </c>
      <c r="R79" s="33" cm="1">
        <f t="array" ref="R79">INDEX(trust_data_quality!$A$2:$P$127,(ROW()-ROW(trust_data_quality!$A$1:$P$1)),MATCH(selected_dq_name,trust_data_quality!$A$1:$P$1,0))</f>
        <v>94.488189697265625</v>
      </c>
      <c r="S79" s="33">
        <f>RANK(R79,R:R,1)+COUNTIF($R$2:R79,R79)-1</f>
        <v>60</v>
      </c>
      <c r="T79">
        <f t="shared" si="2"/>
        <v>0.9</v>
      </c>
    </row>
    <row r="80" spans="1:20" x14ac:dyDescent="0.25">
      <c r="A80" s="10" t="s">
        <v>316</v>
      </c>
      <c r="B80" s="10" t="s">
        <v>315</v>
      </c>
      <c r="C80" s="10" t="s">
        <v>74</v>
      </c>
      <c r="D80" s="10" t="s">
        <v>72</v>
      </c>
      <c r="E80" s="127">
        <v>213</v>
      </c>
      <c r="F80" s="127">
        <v>102</v>
      </c>
      <c r="G80" s="127">
        <v>68.075119018554688</v>
      </c>
      <c r="H80" s="127">
        <v>85.915489196777344</v>
      </c>
      <c r="I80" s="127">
        <v>55.399059295654297</v>
      </c>
      <c r="J80" s="127">
        <v>98.039215087890625</v>
      </c>
      <c r="K80" s="127">
        <v>99.06103515625</v>
      </c>
      <c r="L80" s="127">
        <v>79.342720031738281</v>
      </c>
      <c r="M80" s="127">
        <v>100</v>
      </c>
      <c r="N80" s="127">
        <v>98.122062683105469</v>
      </c>
      <c r="O80" s="127">
        <v>55.399059295654297</v>
      </c>
      <c r="P80" s="127">
        <v>61.032863616943359</v>
      </c>
      <c r="Q80" s="10"/>
      <c r="R80" s="33" cm="1">
        <f t="array" ref="R80">INDEX(trust_data_quality!$A$2:$P$127,(ROW()-ROW(trust_data_quality!$A$1:$P$1)),MATCH(selected_dq_name,trust_data_quality!$A$1:$P$1,0))</f>
        <v>79.342720031738281</v>
      </c>
      <c r="S80" s="33">
        <f>RANK(R80,R:R,1)+COUNTIF($R$2:R80,R80)-1</f>
        <v>13</v>
      </c>
      <c r="T80" s="10">
        <f t="shared" si="2"/>
        <v>0.9</v>
      </c>
    </row>
    <row r="81" spans="1:20" x14ac:dyDescent="0.25">
      <c r="A81" t="s">
        <v>176</v>
      </c>
      <c r="B81" t="s">
        <v>175</v>
      </c>
      <c r="C81" t="s">
        <v>60</v>
      </c>
      <c r="D81" t="s">
        <v>58</v>
      </c>
      <c r="E81" s="127">
        <v>415</v>
      </c>
      <c r="F81" s="127">
        <v>240</v>
      </c>
      <c r="G81" s="127">
        <v>94.457832336425781</v>
      </c>
      <c r="H81" s="127">
        <v>95.421684265136719</v>
      </c>
      <c r="I81" s="127">
        <v>57.590362548828125</v>
      </c>
      <c r="J81" s="127">
        <v>99.583335876464844</v>
      </c>
      <c r="K81" s="127">
        <v>97.831321716308594</v>
      </c>
      <c r="L81" s="127">
        <v>96.385543823242188</v>
      </c>
      <c r="M81" s="127">
        <v>100</v>
      </c>
      <c r="N81" s="127">
        <v>97.590362548828125</v>
      </c>
      <c r="O81" s="127">
        <v>71.807228088378906</v>
      </c>
      <c r="P81" s="127">
        <v>91.325302124023438</v>
      </c>
      <c r="R81" s="33" cm="1">
        <f t="array" ref="R81">INDEX(trust_data_quality!$A$2:$P$127,(ROW()-ROW(trust_data_quality!$A$1:$P$1)),MATCH(selected_dq_name,trust_data_quality!$A$1:$P$1,0))</f>
        <v>96.385543823242188</v>
      </c>
      <c r="S81" s="33">
        <f>RANK(R81,R:R,1)+COUNTIF($R$2:R81,R81)-1</f>
        <v>82</v>
      </c>
      <c r="T81">
        <f t="shared" si="2"/>
        <v>0.9</v>
      </c>
    </row>
    <row r="82" spans="1:20" x14ac:dyDescent="0.25">
      <c r="A82" s="10" t="s">
        <v>202</v>
      </c>
      <c r="B82" s="10" t="s">
        <v>201</v>
      </c>
      <c r="C82" s="10" t="s">
        <v>21</v>
      </c>
      <c r="D82" s="10" t="s">
        <v>19</v>
      </c>
      <c r="E82" s="127">
        <v>252</v>
      </c>
      <c r="F82" s="127">
        <v>148</v>
      </c>
      <c r="G82" s="127">
        <v>97.619049072265625</v>
      </c>
      <c r="H82" s="127">
        <v>86.111114501953125</v>
      </c>
      <c r="I82" s="127">
        <v>60.317459106445313</v>
      </c>
      <c r="J82" s="127">
        <v>100</v>
      </c>
      <c r="K82" s="127">
        <v>98.015876770019531</v>
      </c>
      <c r="L82" s="127">
        <v>95.634918212890625</v>
      </c>
      <c r="M82" s="127">
        <v>100</v>
      </c>
      <c r="N82" s="127">
        <v>97.222221374511719</v>
      </c>
      <c r="O82" s="127">
        <v>65.873016357421875</v>
      </c>
      <c r="P82" s="127">
        <v>40.476188659667969</v>
      </c>
      <c r="Q82" s="10"/>
      <c r="R82" s="33" cm="1">
        <f t="array" ref="R82">INDEX(trust_data_quality!$A$2:$P$127,(ROW()-ROW(trust_data_quality!$A$1:$P$1)),MATCH(selected_dq_name,trust_data_quality!$A$1:$P$1,0))</f>
        <v>95.634918212890625</v>
      </c>
      <c r="S82" s="33">
        <f>RANK(R82,R:R,1)+COUNTIF($R$2:R82,R82)-1</f>
        <v>76</v>
      </c>
      <c r="T82" s="10">
        <f t="shared" si="2"/>
        <v>0.9</v>
      </c>
    </row>
    <row r="83" spans="1:20" x14ac:dyDescent="0.25">
      <c r="A83" t="s">
        <v>328</v>
      </c>
      <c r="B83" t="s">
        <v>327</v>
      </c>
      <c r="C83" t="s">
        <v>74</v>
      </c>
      <c r="D83" t="s">
        <v>72</v>
      </c>
      <c r="E83" s="127">
        <v>236</v>
      </c>
      <c r="F83" s="127">
        <v>167</v>
      </c>
      <c r="G83" s="127">
        <v>87.288139343261719</v>
      </c>
      <c r="H83" s="127">
        <v>98.305084228515625</v>
      </c>
      <c r="I83" s="127">
        <v>74.152542114257813</v>
      </c>
      <c r="J83" s="127">
        <v>99.401199340820313</v>
      </c>
      <c r="K83" s="127">
        <v>100</v>
      </c>
      <c r="L83" s="127">
        <v>97.457626342773438</v>
      </c>
      <c r="M83" s="127">
        <v>100</v>
      </c>
      <c r="N83" s="127">
        <v>98.305084228515625</v>
      </c>
      <c r="O83" s="127">
        <v>72.457626342773438</v>
      </c>
      <c r="P83" s="127">
        <v>45.762710571289063</v>
      </c>
      <c r="R83" s="33" cm="1">
        <f t="array" ref="R83">INDEX(trust_data_quality!$A$2:$P$127,(ROW()-ROW(trust_data_quality!$A$1:$P$1)),MATCH(selected_dq_name,trust_data_quality!$A$1:$P$1,0))</f>
        <v>97.457626342773438</v>
      </c>
      <c r="S83" s="33">
        <f>RANK(R83,R:R,1)+COUNTIF($R$2:R83,R83)-1</f>
        <v>100</v>
      </c>
      <c r="T83">
        <f t="shared" si="2"/>
        <v>0.9</v>
      </c>
    </row>
    <row r="84" spans="1:20" x14ac:dyDescent="0.25">
      <c r="A84" s="10" t="s">
        <v>170</v>
      </c>
      <c r="B84" s="10" t="s">
        <v>169</v>
      </c>
      <c r="C84" s="10" t="s">
        <v>54</v>
      </c>
      <c r="D84" s="10" t="s">
        <v>52</v>
      </c>
      <c r="E84" s="127">
        <v>225</v>
      </c>
      <c r="F84" s="127">
        <v>137</v>
      </c>
      <c r="G84" s="127">
        <v>96.888885498046875</v>
      </c>
      <c r="H84" s="127">
        <v>97.777778625488281</v>
      </c>
      <c r="I84" s="127">
        <v>61.333332061767578</v>
      </c>
      <c r="J84" s="127">
        <v>99.270072937011719</v>
      </c>
      <c r="K84" s="127">
        <v>93.777778625488281</v>
      </c>
      <c r="L84" s="127">
        <v>97.333335876464844</v>
      </c>
      <c r="M84" s="127">
        <v>100</v>
      </c>
      <c r="N84" s="127">
        <v>97.777778625488281</v>
      </c>
      <c r="O84" s="127">
        <v>70.666664123535156</v>
      </c>
      <c r="P84" s="127">
        <v>81.333335876464844</v>
      </c>
      <c r="Q84" s="10"/>
      <c r="R84" s="33" cm="1">
        <f t="array" ref="R84">INDEX(trust_data_quality!$A$2:$P$127,(ROW()-ROW(trust_data_quality!$A$1:$P$1)),MATCH(selected_dq_name,trust_data_quality!$A$1:$P$1,0))</f>
        <v>97.333335876464844</v>
      </c>
      <c r="S84" s="33">
        <f>RANK(R84,R:R,1)+COUNTIF($R$2:R84,R84)-1</f>
        <v>94</v>
      </c>
      <c r="T84" s="10">
        <f t="shared" si="2"/>
        <v>0.9</v>
      </c>
    </row>
    <row r="85" spans="1:20" x14ac:dyDescent="0.25">
      <c r="A85" t="s">
        <v>276</v>
      </c>
      <c r="B85" t="s">
        <v>275</v>
      </c>
      <c r="C85" t="s">
        <v>48</v>
      </c>
      <c r="D85" t="s">
        <v>46</v>
      </c>
      <c r="E85" s="127">
        <v>310</v>
      </c>
      <c r="F85" s="127">
        <v>213</v>
      </c>
      <c r="G85" s="127">
        <v>75.483871459960938</v>
      </c>
      <c r="H85" s="127">
        <v>92.258064270019531</v>
      </c>
      <c r="I85" s="127">
        <v>69.677421569824219</v>
      </c>
      <c r="J85" s="127">
        <v>100</v>
      </c>
      <c r="K85" s="127">
        <v>99.354835510253906</v>
      </c>
      <c r="L85" s="127">
        <v>91.612899780273438</v>
      </c>
      <c r="M85" s="127">
        <v>100</v>
      </c>
      <c r="N85" s="127">
        <v>98.387100219726563</v>
      </c>
      <c r="O85" s="127">
        <v>71.93548583984375</v>
      </c>
      <c r="P85" s="127">
        <v>6.7741937637329102</v>
      </c>
      <c r="R85" s="33" cm="1">
        <f t="array" ref="R85">INDEX(trust_data_quality!$A$2:$P$127,(ROW()-ROW(trust_data_quality!$A$1:$P$1)),MATCH(selected_dq_name,trust_data_quality!$A$1:$P$1,0))</f>
        <v>91.612899780273438</v>
      </c>
      <c r="S85" s="33">
        <f>RANK(R85,R:R,1)+COUNTIF($R$2:R85,R85)-1</f>
        <v>36</v>
      </c>
      <c r="T85">
        <f t="shared" si="2"/>
        <v>0.9</v>
      </c>
    </row>
    <row r="86" spans="1:20" x14ac:dyDescent="0.25">
      <c r="A86" s="10" t="s">
        <v>83</v>
      </c>
      <c r="B86" s="10" t="s">
        <v>82</v>
      </c>
      <c r="C86" s="10" t="s">
        <v>48</v>
      </c>
      <c r="D86" s="10" t="s">
        <v>46</v>
      </c>
      <c r="E86" s="127">
        <v>464</v>
      </c>
      <c r="F86" s="127">
        <v>281</v>
      </c>
      <c r="G86" s="127">
        <v>94.396553039550781</v>
      </c>
      <c r="H86" s="127">
        <v>97.629310607910156</v>
      </c>
      <c r="I86" s="127">
        <v>60.560344696044922</v>
      </c>
      <c r="J86" s="127">
        <v>100</v>
      </c>
      <c r="K86" s="127">
        <v>100</v>
      </c>
      <c r="L86" s="127">
        <v>98.491378784179688</v>
      </c>
      <c r="M86" s="127">
        <v>100</v>
      </c>
      <c r="N86" s="127">
        <v>100</v>
      </c>
      <c r="O86" s="127">
        <v>74.137931823730469</v>
      </c>
      <c r="P86" s="127">
        <v>91.594825744628906</v>
      </c>
      <c r="Q86" s="10"/>
      <c r="R86" s="33" cm="1">
        <f t="array" ref="R86">INDEX(trust_data_quality!$A$2:$P$127,(ROW()-ROW(trust_data_quality!$A$1:$P$1)),MATCH(selected_dq_name,trust_data_quality!$A$1:$P$1,0))</f>
        <v>98.491378784179688</v>
      </c>
      <c r="S86" s="33">
        <f>RANK(R86,R:R,1)+COUNTIF($R$2:R86,R86)-1</f>
        <v>115</v>
      </c>
      <c r="T86" s="10">
        <f t="shared" si="2"/>
        <v>0.9</v>
      </c>
    </row>
    <row r="87" spans="1:20" x14ac:dyDescent="0.25">
      <c r="A87" t="s">
        <v>190</v>
      </c>
      <c r="B87" t="s">
        <v>189</v>
      </c>
      <c r="C87" t="s">
        <v>74</v>
      </c>
      <c r="D87" t="s">
        <v>72</v>
      </c>
      <c r="E87" s="127">
        <v>89</v>
      </c>
      <c r="F87" s="127">
        <v>41</v>
      </c>
      <c r="G87" s="127">
        <v>84.269660949707031</v>
      </c>
      <c r="H87" s="127">
        <v>91.011238098144531</v>
      </c>
      <c r="I87" s="127">
        <v>55.056179046630859</v>
      </c>
      <c r="J87" s="127">
        <v>100</v>
      </c>
      <c r="K87" s="127">
        <v>100</v>
      </c>
      <c r="L87" s="127">
        <v>93.258430480957031</v>
      </c>
      <c r="M87" s="127">
        <v>100</v>
      </c>
      <c r="N87" s="127">
        <v>97.7528076171875</v>
      </c>
      <c r="O87" s="127">
        <v>65.168540954589844</v>
      </c>
      <c r="P87" s="127">
        <v>91.011238098144531</v>
      </c>
      <c r="R87" s="33" cm="1">
        <f t="array" ref="R87">INDEX(trust_data_quality!$A$2:$P$127,(ROW()-ROW(trust_data_quality!$A$1:$P$1)),MATCH(selected_dq_name,trust_data_quality!$A$1:$P$1,0))</f>
        <v>93.258430480957031</v>
      </c>
      <c r="S87" s="33">
        <f>RANK(R87,R:R,1)+COUNTIF($R$2:R87,R87)-1</f>
        <v>49</v>
      </c>
      <c r="T87">
        <f t="shared" si="2"/>
        <v>0.9</v>
      </c>
    </row>
    <row r="88" spans="1:20" x14ac:dyDescent="0.25">
      <c r="A88" s="10" t="s">
        <v>288</v>
      </c>
      <c r="B88" s="10" t="s">
        <v>287</v>
      </c>
      <c r="C88" s="10" t="s">
        <v>18</v>
      </c>
      <c r="D88" s="10" t="s">
        <v>16</v>
      </c>
      <c r="E88" s="127">
        <v>149</v>
      </c>
      <c r="F88" s="127">
        <v>58</v>
      </c>
      <c r="G88" s="127">
        <v>68.456375122070313</v>
      </c>
      <c r="H88" s="127">
        <v>73.82550048828125</v>
      </c>
      <c r="I88" s="127">
        <v>47.651008605957031</v>
      </c>
      <c r="J88" s="127">
        <v>100</v>
      </c>
      <c r="K88" s="127">
        <v>91.275169372558594</v>
      </c>
      <c r="L88" s="127">
        <v>94.630874633789063</v>
      </c>
      <c r="M88" s="127">
        <v>100</v>
      </c>
      <c r="N88" s="127">
        <v>99.328857421875</v>
      </c>
      <c r="O88" s="127">
        <v>47.651008605957031</v>
      </c>
      <c r="P88" s="127">
        <v>30.872482299804688</v>
      </c>
      <c r="Q88" s="10"/>
      <c r="R88" s="33" cm="1">
        <f t="array" ref="R88">INDEX(trust_data_quality!$A$2:$P$127,(ROW()-ROW(trust_data_quality!$A$1:$P$1)),MATCH(selected_dq_name,trust_data_quality!$A$1:$P$1,0))</f>
        <v>94.630874633789063</v>
      </c>
      <c r="S88" s="33">
        <f>RANK(R88,R:R,1)+COUNTIF($R$2:R88,R88)-1</f>
        <v>61</v>
      </c>
      <c r="T88" s="10">
        <f t="shared" si="2"/>
        <v>0.9</v>
      </c>
    </row>
    <row r="89" spans="1:20" x14ac:dyDescent="0.25">
      <c r="A89" t="s">
        <v>188</v>
      </c>
      <c r="B89" t="s">
        <v>187</v>
      </c>
      <c r="C89" t="s">
        <v>512</v>
      </c>
      <c r="D89" t="s">
        <v>70</v>
      </c>
      <c r="E89" s="127">
        <v>221</v>
      </c>
      <c r="F89" s="127">
        <v>175</v>
      </c>
      <c r="G89" s="127">
        <v>78.7330322265625</v>
      </c>
      <c r="H89" s="127">
        <v>23.529411315917969</v>
      </c>
      <c r="I89" s="127">
        <v>92.307693481445313</v>
      </c>
      <c r="J89" s="127">
        <v>98.285713195800781</v>
      </c>
      <c r="K89" s="127">
        <v>98.642532348632813</v>
      </c>
      <c r="L89" s="127">
        <v>95.475112915039063</v>
      </c>
      <c r="M89" s="127">
        <v>100</v>
      </c>
      <c r="N89" s="127">
        <v>97.737556457519531</v>
      </c>
      <c r="O89" s="127">
        <v>32.126697540283203</v>
      </c>
      <c r="P89" s="127">
        <v>6.787330150604248</v>
      </c>
      <c r="R89" s="33" cm="1">
        <f t="array" ref="R89">INDEX(trust_data_quality!$A$2:$P$127,(ROW()-ROW(trust_data_quality!$A$1:$P$1)),MATCH(selected_dq_name,trust_data_quality!$A$1:$P$1,0))</f>
        <v>95.475112915039063</v>
      </c>
      <c r="S89" s="33">
        <f>RANK(R89,R:R,1)+COUNTIF($R$2:R89,R89)-1</f>
        <v>71</v>
      </c>
      <c r="T89">
        <f t="shared" si="2"/>
        <v>0.9</v>
      </c>
    </row>
    <row r="90" spans="1:20" x14ac:dyDescent="0.25">
      <c r="A90" s="10" t="s">
        <v>120</v>
      </c>
      <c r="B90" s="10" t="s">
        <v>119</v>
      </c>
      <c r="C90" s="10" t="s">
        <v>18</v>
      </c>
      <c r="D90" s="10" t="s">
        <v>16</v>
      </c>
      <c r="E90" s="127">
        <v>298</v>
      </c>
      <c r="F90" s="127">
        <v>165</v>
      </c>
      <c r="G90" s="127">
        <v>95.637580871582031</v>
      </c>
      <c r="H90" s="127">
        <v>83.557044982910156</v>
      </c>
      <c r="I90" s="127">
        <v>63.422817230224609</v>
      </c>
      <c r="J90" s="127">
        <v>100</v>
      </c>
      <c r="K90" s="127">
        <v>98.9932861328125</v>
      </c>
      <c r="L90" s="127">
        <v>95.973152160644531</v>
      </c>
      <c r="M90" s="127">
        <v>100</v>
      </c>
      <c r="N90" s="127">
        <v>99.6644287109375</v>
      </c>
      <c r="O90" s="127">
        <v>69.127517700195313</v>
      </c>
      <c r="P90" s="127">
        <v>67.785232543945313</v>
      </c>
      <c r="Q90" s="10"/>
      <c r="R90" s="33" cm="1">
        <f t="array" ref="R90">INDEX(trust_data_quality!$A$2:$P$127,(ROW()-ROW(trust_data_quality!$A$1:$P$1)),MATCH(selected_dq_name,trust_data_quality!$A$1:$P$1,0))</f>
        <v>95.973152160644531</v>
      </c>
      <c r="S90" s="33">
        <f>RANK(R90,R:R,1)+COUNTIF($R$2:R90,R90)-1</f>
        <v>78</v>
      </c>
      <c r="T90" s="10">
        <f t="shared" si="2"/>
        <v>0.9</v>
      </c>
    </row>
    <row r="91" spans="1:20" x14ac:dyDescent="0.25">
      <c r="A91" t="s">
        <v>302</v>
      </c>
      <c r="B91" t="s">
        <v>301</v>
      </c>
      <c r="C91" t="s">
        <v>30</v>
      </c>
      <c r="D91" t="s">
        <v>28</v>
      </c>
      <c r="E91" s="127">
        <v>198</v>
      </c>
      <c r="F91" s="127">
        <v>103</v>
      </c>
      <c r="G91" s="127">
        <v>99.494949340820313</v>
      </c>
      <c r="H91" s="127">
        <v>97.97979736328125</v>
      </c>
      <c r="I91" s="127">
        <v>57.575756072998047</v>
      </c>
      <c r="J91" s="127">
        <v>93.203880310058594</v>
      </c>
      <c r="K91" s="127">
        <v>99.494949340820313</v>
      </c>
      <c r="L91" s="127">
        <v>93.93939208984375</v>
      </c>
      <c r="M91" s="127">
        <v>100</v>
      </c>
      <c r="N91" s="127">
        <v>97.474746704101563</v>
      </c>
      <c r="O91" s="127">
        <v>75.757575988769531</v>
      </c>
      <c r="P91" s="127">
        <v>86.868690490722656</v>
      </c>
      <c r="R91" s="33" cm="1">
        <f t="array" ref="R91">INDEX(trust_data_quality!$A$2:$P$127,(ROW()-ROW(trust_data_quality!$A$1:$P$1)),MATCH(selected_dq_name,trust_data_quality!$A$1:$P$1,0))</f>
        <v>93.93939208984375</v>
      </c>
      <c r="S91" s="33">
        <f>RANK(R91,R:R,1)+COUNTIF($R$2:R91,R91)-1</f>
        <v>55</v>
      </c>
      <c r="T91">
        <f t="shared" si="2"/>
        <v>0.9</v>
      </c>
    </row>
    <row r="92" spans="1:20" x14ac:dyDescent="0.25">
      <c r="A92" s="10" t="s">
        <v>274</v>
      </c>
      <c r="B92" s="10" t="s">
        <v>273</v>
      </c>
      <c r="C92" s="10" t="s">
        <v>63</v>
      </c>
      <c r="D92" s="10" t="s">
        <v>61</v>
      </c>
      <c r="E92" s="127">
        <v>184</v>
      </c>
      <c r="F92" s="127">
        <v>135</v>
      </c>
      <c r="G92" s="127">
        <v>98.913040161132813</v>
      </c>
      <c r="H92" s="127">
        <v>97.826087951660156</v>
      </c>
      <c r="I92" s="127">
        <v>71.195655822753906</v>
      </c>
      <c r="J92" s="127">
        <v>96.296295166015625</v>
      </c>
      <c r="K92" s="127">
        <v>99.456520080566406</v>
      </c>
      <c r="L92" s="127">
        <v>98.913040161132813</v>
      </c>
      <c r="M92" s="127">
        <v>100</v>
      </c>
      <c r="N92" s="127">
        <v>92.391304016113281</v>
      </c>
      <c r="O92" s="127">
        <v>71.195655822753906</v>
      </c>
      <c r="P92" s="127">
        <v>81.521736145019531</v>
      </c>
      <c r="Q92" s="10"/>
      <c r="R92" s="33" cm="1">
        <f t="array" ref="R92">INDEX(trust_data_quality!$A$2:$P$127,(ROW()-ROW(trust_data_quality!$A$1:$P$1)),MATCH(selected_dq_name,trust_data_quality!$A$1:$P$1,0))</f>
        <v>98.913040161132813</v>
      </c>
      <c r="S92" s="33">
        <f>RANK(R92,R:R,1)+COUNTIF($R$2:R92,R92)-1</f>
        <v>121</v>
      </c>
      <c r="T92" s="10">
        <f t="shared" si="2"/>
        <v>0.9</v>
      </c>
    </row>
    <row r="93" spans="1:20" x14ac:dyDescent="0.25">
      <c r="A93" t="s">
        <v>222</v>
      </c>
      <c r="B93" t="s">
        <v>221</v>
      </c>
      <c r="C93" t="s">
        <v>30</v>
      </c>
      <c r="D93" t="s">
        <v>28</v>
      </c>
      <c r="E93" s="127">
        <v>190</v>
      </c>
      <c r="F93" s="127">
        <v>132</v>
      </c>
      <c r="G93" s="127">
        <v>84.210525512695313</v>
      </c>
      <c r="H93" s="127">
        <v>90.526313781738281</v>
      </c>
      <c r="I93" s="127">
        <v>71.052635192871094</v>
      </c>
      <c r="J93" s="127">
        <v>99.242424011230469</v>
      </c>
      <c r="K93" s="127">
        <v>100</v>
      </c>
      <c r="L93" s="127">
        <v>97.368423461914063</v>
      </c>
      <c r="M93" s="127">
        <v>100</v>
      </c>
      <c r="N93" s="127">
        <v>99.473686218261719</v>
      </c>
      <c r="O93" s="127">
        <v>62.631580352783203</v>
      </c>
      <c r="P93" s="127">
        <v>75.263160705566406</v>
      </c>
      <c r="R93" s="33" cm="1">
        <f t="array" ref="R93">INDEX(trust_data_quality!$A$2:$P$127,(ROW()-ROW(trust_data_quality!$A$1:$P$1)),MATCH(selected_dq_name,trust_data_quality!$A$1:$P$1,0))</f>
        <v>97.368423461914063</v>
      </c>
      <c r="S93" s="33">
        <f>RANK(R93,R:R,1)+COUNTIF($R$2:R93,R93)-1</f>
        <v>96</v>
      </c>
      <c r="T93">
        <f t="shared" si="2"/>
        <v>0.9</v>
      </c>
    </row>
    <row r="94" spans="1:20" x14ac:dyDescent="0.25">
      <c r="A94" s="10" t="s">
        <v>126</v>
      </c>
      <c r="B94" s="10" t="s">
        <v>125</v>
      </c>
      <c r="C94" s="10" t="s">
        <v>30</v>
      </c>
      <c r="D94" s="10" t="s">
        <v>28</v>
      </c>
      <c r="E94" s="127">
        <v>57</v>
      </c>
      <c r="F94" s="127">
        <v>27</v>
      </c>
      <c r="G94" s="127">
        <v>85.964912414550781</v>
      </c>
      <c r="H94" s="127">
        <v>77.192985534667969</v>
      </c>
      <c r="I94" s="127">
        <v>50.877193450927734</v>
      </c>
      <c r="J94" s="127">
        <v>88.888885498046875</v>
      </c>
      <c r="K94" s="127">
        <v>98.245613098144531</v>
      </c>
      <c r="L94" s="127">
        <v>70.175437927246094</v>
      </c>
      <c r="M94" s="127">
        <v>100</v>
      </c>
      <c r="N94" s="127">
        <v>92.982452392578125</v>
      </c>
      <c r="O94" s="127">
        <v>3.5087718963623047</v>
      </c>
      <c r="P94" s="127">
        <v>3.5087718963623047</v>
      </c>
      <c r="Q94" s="10"/>
      <c r="R94" s="33" cm="1">
        <f t="array" ref="R94">INDEX(trust_data_quality!$A$2:$P$127,(ROW()-ROW(trust_data_quality!$A$1:$P$1)),MATCH(selected_dq_name,trust_data_quality!$A$1:$P$1,0))</f>
        <v>70.175437927246094</v>
      </c>
      <c r="S94" s="33">
        <f>RANK(R94,R:R,1)+COUNTIF($R$2:R94,R94)-1</f>
        <v>8</v>
      </c>
      <c r="T94" s="10">
        <f t="shared" si="2"/>
        <v>0.9</v>
      </c>
    </row>
    <row r="95" spans="1:20" x14ac:dyDescent="0.25">
      <c r="A95" t="s">
        <v>150</v>
      </c>
      <c r="B95" t="s">
        <v>149</v>
      </c>
      <c r="C95" t="s">
        <v>18</v>
      </c>
      <c r="D95" t="s">
        <v>16</v>
      </c>
      <c r="E95" s="127">
        <v>26</v>
      </c>
      <c r="F95" s="127">
        <v>0</v>
      </c>
      <c r="G95" s="127">
        <v>34.615383148193359</v>
      </c>
      <c r="H95" s="127">
        <v>50</v>
      </c>
      <c r="I95" s="127">
        <v>84.615386962890625</v>
      </c>
      <c r="J95" s="127"/>
      <c r="K95" s="127">
        <v>96.153846740722656</v>
      </c>
      <c r="L95" s="127">
        <v>3.846153736114502</v>
      </c>
      <c r="M95" s="127">
        <v>100</v>
      </c>
      <c r="N95" s="127">
        <v>92.307693481445313</v>
      </c>
      <c r="O95" s="127">
        <v>0</v>
      </c>
      <c r="P95" s="127">
        <v>23.076923370361328</v>
      </c>
      <c r="R95" s="33" cm="1">
        <f t="array" ref="R95">INDEX(trust_data_quality!$A$2:$P$127,(ROW()-ROW(trust_data_quality!$A$1:$P$1)),MATCH(selected_dq_name,trust_data_quality!$A$1:$P$1,0))</f>
        <v>3.846153736114502</v>
      </c>
      <c r="S95" s="33">
        <f>RANK(R95,R:R,1)+COUNTIF($R$2:R95,R95)-1</f>
        <v>1</v>
      </c>
      <c r="T95">
        <f t="shared" si="2"/>
        <v>0.9</v>
      </c>
    </row>
    <row r="96" spans="1:20" x14ac:dyDescent="0.25">
      <c r="A96" s="10" t="s">
        <v>230</v>
      </c>
      <c r="B96" s="10" t="s">
        <v>229</v>
      </c>
      <c r="C96" s="10" t="s">
        <v>74</v>
      </c>
      <c r="D96" s="10" t="s">
        <v>72</v>
      </c>
      <c r="E96" s="127">
        <v>179</v>
      </c>
      <c r="F96" s="127">
        <v>102</v>
      </c>
      <c r="G96" s="127">
        <v>75.977653503417969</v>
      </c>
      <c r="H96" s="127">
        <v>71.508377075195313</v>
      </c>
      <c r="I96" s="127">
        <v>62.011173248291016</v>
      </c>
      <c r="J96" s="127">
        <v>99.019607543945313</v>
      </c>
      <c r="K96" s="127">
        <v>97.765365600585938</v>
      </c>
      <c r="L96" s="127">
        <v>88.268157958984375</v>
      </c>
      <c r="M96" s="127">
        <v>100</v>
      </c>
      <c r="N96" s="127">
        <v>95.530723571777344</v>
      </c>
      <c r="O96" s="127">
        <v>51.396648406982422</v>
      </c>
      <c r="P96" s="127">
        <v>13.966480255126953</v>
      </c>
      <c r="Q96" s="10"/>
      <c r="R96" s="33" cm="1">
        <f t="array" ref="R96">INDEX(trust_data_quality!$A$2:$P$127,(ROW()-ROW(trust_data_quality!$A$1:$P$1)),MATCH(selected_dq_name,trust_data_quality!$A$1:$P$1,0))</f>
        <v>88.268157958984375</v>
      </c>
      <c r="S96" s="33">
        <f>RANK(R96,R:R,1)+COUNTIF($R$2:R96,R96)-1</f>
        <v>23</v>
      </c>
      <c r="T96" s="10">
        <f t="shared" si="2"/>
        <v>0.9</v>
      </c>
    </row>
    <row r="97" spans="1:20" x14ac:dyDescent="0.25">
      <c r="A97" t="s">
        <v>110</v>
      </c>
      <c r="B97" t="s">
        <v>109</v>
      </c>
      <c r="C97" t="s">
        <v>512</v>
      </c>
      <c r="D97" t="s">
        <v>70</v>
      </c>
      <c r="E97" s="127">
        <v>107</v>
      </c>
      <c r="F97" s="127">
        <v>55</v>
      </c>
      <c r="G97" s="127">
        <v>91.588783264160156</v>
      </c>
      <c r="H97" s="127">
        <v>88.785049438476563</v>
      </c>
      <c r="I97" s="127">
        <v>41.121494293212891</v>
      </c>
      <c r="J97" s="127">
        <v>74.545455932617188</v>
      </c>
      <c r="K97" s="127">
        <v>100</v>
      </c>
      <c r="L97" s="127">
        <v>95.327102661132813</v>
      </c>
      <c r="M97" s="127">
        <v>100</v>
      </c>
      <c r="N97" s="127">
        <v>100</v>
      </c>
      <c r="O97" s="127">
        <v>48.598129272460938</v>
      </c>
      <c r="P97" s="127">
        <v>10.280373573303223</v>
      </c>
      <c r="R97" s="33" cm="1">
        <f t="array" ref="R97">INDEX(trust_data_quality!$A$2:$P$127,(ROW()-ROW(trust_data_quality!$A$1:$P$1)),MATCH(selected_dq_name,trust_data_quality!$A$1:$P$1,0))</f>
        <v>95.327102661132813</v>
      </c>
      <c r="S97" s="33">
        <f>RANK(R97,R:R,1)+COUNTIF($R$2:R97,R97)-1</f>
        <v>69</v>
      </c>
      <c r="T97">
        <f t="shared" si="2"/>
        <v>0.9</v>
      </c>
    </row>
    <row r="98" spans="1:20" x14ac:dyDescent="0.25">
      <c r="A98" s="10" t="s">
        <v>262</v>
      </c>
      <c r="B98" s="10" t="s">
        <v>261</v>
      </c>
      <c r="C98" s="10" t="s">
        <v>48</v>
      </c>
      <c r="D98" s="10" t="s">
        <v>46</v>
      </c>
      <c r="E98" s="127">
        <v>366</v>
      </c>
      <c r="F98" s="127">
        <v>242</v>
      </c>
      <c r="G98" s="127">
        <v>90.163932800292969</v>
      </c>
      <c r="H98" s="127">
        <v>86.065574645996094</v>
      </c>
      <c r="I98" s="127">
        <v>66.120216369628906</v>
      </c>
      <c r="J98" s="127">
        <v>99.173553466796875</v>
      </c>
      <c r="K98" s="127">
        <v>97.26776123046875</v>
      </c>
      <c r="L98" s="127">
        <v>94.808746337890625</v>
      </c>
      <c r="M98" s="127">
        <v>100</v>
      </c>
      <c r="N98" s="127">
        <v>98.633880615234375</v>
      </c>
      <c r="O98" s="127">
        <v>64.480873107910156</v>
      </c>
      <c r="P98" s="127">
        <v>26.229507446289063</v>
      </c>
      <c r="Q98" s="10"/>
      <c r="R98" s="33" cm="1">
        <f t="array" ref="R98">INDEX(trust_data_quality!$A$2:$P$127,(ROW()-ROW(trust_data_quality!$A$1:$P$1)),MATCH(selected_dq_name,trust_data_quality!$A$1:$P$1,0))</f>
        <v>94.808746337890625</v>
      </c>
      <c r="S98" s="33">
        <f>RANK(R98,R:R,1)+COUNTIF($R$2:R98,R98)-1</f>
        <v>63</v>
      </c>
      <c r="T98" s="10">
        <f t="shared" ref="T98:T127" si="3">selected_dq_target</f>
        <v>0.9</v>
      </c>
    </row>
    <row r="99" spans="1:20" x14ac:dyDescent="0.25">
      <c r="A99" t="s">
        <v>248</v>
      </c>
      <c r="B99" t="s">
        <v>247</v>
      </c>
      <c r="C99" t="s">
        <v>27</v>
      </c>
      <c r="D99" t="s">
        <v>25</v>
      </c>
      <c r="E99" s="127">
        <v>158</v>
      </c>
      <c r="F99" s="127">
        <v>106</v>
      </c>
      <c r="G99" s="127">
        <v>70.886077880859375</v>
      </c>
      <c r="H99" s="127">
        <v>87.974685668945313</v>
      </c>
      <c r="I99" s="127">
        <v>96.835441589355469</v>
      </c>
      <c r="J99" s="127">
        <v>100</v>
      </c>
      <c r="K99" s="127">
        <v>98.734176635742188</v>
      </c>
      <c r="L99" s="127">
        <v>96.835441589355469</v>
      </c>
      <c r="M99" s="127">
        <v>100</v>
      </c>
      <c r="N99" s="127">
        <v>100</v>
      </c>
      <c r="O99" s="127">
        <v>55.063289642333984</v>
      </c>
      <c r="P99" s="127">
        <v>37.974681854248047</v>
      </c>
      <c r="R99" s="33" cm="1">
        <f t="array" ref="R99">INDEX(trust_data_quality!$A$2:$P$127,(ROW()-ROW(trust_data_quality!$A$1:$P$1)),MATCH(selected_dq_name,trust_data_quality!$A$1:$P$1,0))</f>
        <v>96.835441589355469</v>
      </c>
      <c r="S99" s="33">
        <f>RANK(R99,R:R,1)+COUNTIF($R$2:R99,R99)-1</f>
        <v>88</v>
      </c>
      <c r="T99">
        <f t="shared" si="3"/>
        <v>0.9</v>
      </c>
    </row>
    <row r="100" spans="1:20" x14ac:dyDescent="0.25">
      <c r="A100" s="10" t="s">
        <v>136</v>
      </c>
      <c r="B100" s="10" t="s">
        <v>135</v>
      </c>
      <c r="C100" s="10" t="s">
        <v>24</v>
      </c>
      <c r="D100" s="10" t="s">
        <v>22</v>
      </c>
      <c r="E100" s="127">
        <v>134</v>
      </c>
      <c r="F100" s="127">
        <v>90</v>
      </c>
      <c r="G100" s="127">
        <v>81.343284606933594</v>
      </c>
      <c r="H100" s="127">
        <v>82.089553833007813</v>
      </c>
      <c r="I100" s="127">
        <v>79.104476928710938</v>
      </c>
      <c r="J100" s="127">
        <v>96.666664123535156</v>
      </c>
      <c r="K100" s="127">
        <v>100</v>
      </c>
      <c r="L100" s="127">
        <v>70.895523071289063</v>
      </c>
      <c r="M100" s="127">
        <v>100</v>
      </c>
      <c r="N100" s="127">
        <v>96.268653869628906</v>
      </c>
      <c r="O100" s="127">
        <v>55.223880767822266</v>
      </c>
      <c r="P100" s="127">
        <v>5.2238807678222656</v>
      </c>
      <c r="Q100" s="10"/>
      <c r="R100" s="33" cm="1">
        <f t="array" ref="R100">INDEX(trust_data_quality!$A$2:$P$127,(ROW()-ROW(trust_data_quality!$A$1:$P$1)),MATCH(selected_dq_name,trust_data_quality!$A$1:$P$1,0))</f>
        <v>70.895523071289063</v>
      </c>
      <c r="S100" s="33">
        <f>RANK(R100,R:R,1)+COUNTIF($R$2:R100,R100)-1</f>
        <v>9</v>
      </c>
      <c r="T100" s="10">
        <f t="shared" si="3"/>
        <v>0.9</v>
      </c>
    </row>
    <row r="101" spans="1:20" x14ac:dyDescent="0.25">
      <c r="A101" t="s">
        <v>156</v>
      </c>
      <c r="B101" t="s">
        <v>155</v>
      </c>
      <c r="C101" t="s">
        <v>60</v>
      </c>
      <c r="D101" t="s">
        <v>58</v>
      </c>
      <c r="E101" s="127">
        <v>184</v>
      </c>
      <c r="F101" s="127">
        <v>110</v>
      </c>
      <c r="G101" s="127">
        <v>95.108695983886719</v>
      </c>
      <c r="H101" s="127">
        <v>94.021736145019531</v>
      </c>
      <c r="I101" s="127">
        <v>63.586956024169922</v>
      </c>
      <c r="J101" s="127">
        <v>99.090911865234375</v>
      </c>
      <c r="K101" s="127">
        <v>98.913040161132813</v>
      </c>
      <c r="L101" s="127">
        <v>97.282608032226563</v>
      </c>
      <c r="M101" s="127">
        <v>100</v>
      </c>
      <c r="N101" s="127">
        <v>98.913040161132813</v>
      </c>
      <c r="O101" s="127">
        <v>78.260871887207031</v>
      </c>
      <c r="P101" s="127">
        <v>25.543478012084961</v>
      </c>
      <c r="R101" s="33" cm="1">
        <f t="array" ref="R101">INDEX(trust_data_quality!$A$2:$P$127,(ROW()-ROW(trust_data_quality!$A$1:$P$1)),MATCH(selected_dq_name,trust_data_quality!$A$1:$P$1,0))</f>
        <v>97.282608032226563</v>
      </c>
      <c r="S101" s="33">
        <f>RANK(R101,R:R,1)+COUNTIF($R$2:R101,R101)-1</f>
        <v>93</v>
      </c>
      <c r="T101">
        <f t="shared" si="3"/>
        <v>0.9</v>
      </c>
    </row>
    <row r="102" spans="1:20" x14ac:dyDescent="0.25">
      <c r="A102" s="10" t="s">
        <v>244</v>
      </c>
      <c r="B102" s="10" t="s">
        <v>243</v>
      </c>
      <c r="C102" s="10" t="s">
        <v>512</v>
      </c>
      <c r="D102" s="10" t="s">
        <v>70</v>
      </c>
      <c r="E102" s="127">
        <v>48</v>
      </c>
      <c r="F102" s="127">
        <v>25</v>
      </c>
      <c r="G102" s="127">
        <v>81.25</v>
      </c>
      <c r="H102" s="127">
        <v>60.416667938232422</v>
      </c>
      <c r="I102" s="127">
        <v>89.583335876464844</v>
      </c>
      <c r="J102" s="127">
        <v>100</v>
      </c>
      <c r="K102" s="127">
        <v>89.583335876464844</v>
      </c>
      <c r="L102" s="127">
        <v>81.25</v>
      </c>
      <c r="M102" s="127">
        <v>100</v>
      </c>
      <c r="N102" s="127">
        <v>100</v>
      </c>
      <c r="O102" s="127">
        <v>18.75</v>
      </c>
      <c r="P102" s="127">
        <v>16.666666030883789</v>
      </c>
      <c r="Q102" s="10"/>
      <c r="R102" s="33" cm="1">
        <f t="array" ref="R102">INDEX(trust_data_quality!$A$2:$P$127,(ROW()-ROW(trust_data_quality!$A$1:$P$1)),MATCH(selected_dq_name,trust_data_quality!$A$1:$P$1,0))</f>
        <v>81.25</v>
      </c>
      <c r="S102" s="33">
        <f>RANK(R102,R:R,1)+COUNTIF($R$2:R102,R102)-1</f>
        <v>16</v>
      </c>
      <c r="T102" s="10">
        <f t="shared" si="3"/>
        <v>0.9</v>
      </c>
    </row>
    <row r="103" spans="1:20" x14ac:dyDescent="0.25">
      <c r="A103" t="s">
        <v>210</v>
      </c>
      <c r="B103" t="s">
        <v>209</v>
      </c>
      <c r="C103" t="s">
        <v>74</v>
      </c>
      <c r="D103" t="s">
        <v>72</v>
      </c>
      <c r="E103" s="127">
        <v>249</v>
      </c>
      <c r="F103" s="127">
        <v>137</v>
      </c>
      <c r="G103" s="127">
        <v>83.935745239257813</v>
      </c>
      <c r="H103" s="127">
        <v>79.116462707519531</v>
      </c>
      <c r="I103" s="127">
        <v>61.847389221191406</v>
      </c>
      <c r="J103" s="127">
        <v>99.270072937011719</v>
      </c>
      <c r="K103" s="127">
        <v>99.598396301269531</v>
      </c>
      <c r="L103" s="127">
        <v>88.353416442871094</v>
      </c>
      <c r="M103" s="127">
        <v>100</v>
      </c>
      <c r="N103" s="127">
        <v>96.787147521972656</v>
      </c>
      <c r="O103" s="127">
        <v>64.658638000488281</v>
      </c>
      <c r="P103" s="127">
        <v>53.413654327392578</v>
      </c>
      <c r="R103" s="33" cm="1">
        <f t="array" ref="R103">INDEX(trust_data_quality!$A$2:$P$127,(ROW()-ROW(trust_data_quality!$A$1:$P$1)),MATCH(selected_dq_name,trust_data_quality!$A$1:$P$1,0))</f>
        <v>88.353416442871094</v>
      </c>
      <c r="S103" s="33">
        <f>RANK(R103,R:R,1)+COUNTIF($R$2:R103,R103)-1</f>
        <v>24</v>
      </c>
      <c r="T103">
        <f t="shared" si="3"/>
        <v>0.9</v>
      </c>
    </row>
    <row r="104" spans="1:20" x14ac:dyDescent="0.25">
      <c r="A104" s="10" t="s">
        <v>208</v>
      </c>
      <c r="B104" s="10" t="s">
        <v>207</v>
      </c>
      <c r="C104" s="10" t="s">
        <v>42</v>
      </c>
      <c r="D104" s="10" t="s">
        <v>40</v>
      </c>
      <c r="E104" s="127">
        <v>83</v>
      </c>
      <c r="F104" s="127">
        <v>63</v>
      </c>
      <c r="G104" s="127">
        <v>97.590362548828125</v>
      </c>
      <c r="H104" s="127">
        <v>86.746986389160156</v>
      </c>
      <c r="I104" s="127">
        <v>92.771087646484375</v>
      </c>
      <c r="J104" s="127">
        <v>100</v>
      </c>
      <c r="K104" s="127">
        <v>98.795181274414063</v>
      </c>
      <c r="L104" s="127">
        <v>92.771087646484375</v>
      </c>
      <c r="M104" s="127">
        <v>100</v>
      </c>
      <c r="N104" s="127">
        <v>95.18072509765625</v>
      </c>
      <c r="O104" s="127">
        <v>61.445781707763672</v>
      </c>
      <c r="P104" s="127">
        <v>84.337348937988281</v>
      </c>
      <c r="Q104" s="10"/>
      <c r="R104" s="33" cm="1">
        <f t="array" ref="R104">INDEX(trust_data_quality!$A$2:$P$127,(ROW()-ROW(trust_data_quality!$A$1:$P$1)),MATCH(selected_dq_name,trust_data_quality!$A$1:$P$1,0))</f>
        <v>92.771087646484375</v>
      </c>
      <c r="S104" s="33">
        <f>RANK(R104,R:R,1)+COUNTIF($R$2:R104,R104)-1</f>
        <v>44</v>
      </c>
      <c r="T104" s="10">
        <f t="shared" si="3"/>
        <v>0.9</v>
      </c>
    </row>
    <row r="105" spans="1:20" x14ac:dyDescent="0.25">
      <c r="A105" t="s">
        <v>100</v>
      </c>
      <c r="B105" t="s">
        <v>99</v>
      </c>
      <c r="C105" t="s">
        <v>98</v>
      </c>
      <c r="D105" t="s">
        <v>49</v>
      </c>
      <c r="E105" s="127">
        <v>219</v>
      </c>
      <c r="F105" s="127">
        <v>106</v>
      </c>
      <c r="G105" s="127">
        <v>87.214614868164063</v>
      </c>
      <c r="H105" s="127">
        <v>75.34246826171875</v>
      </c>
      <c r="I105" s="127">
        <v>83.105026245117188</v>
      </c>
      <c r="J105" s="127">
        <v>100</v>
      </c>
      <c r="K105" s="127">
        <v>98.630134582519531</v>
      </c>
      <c r="L105" s="127">
        <v>83.5616455078125</v>
      </c>
      <c r="M105" s="127">
        <v>100</v>
      </c>
      <c r="N105" s="127">
        <v>97.260276794433594</v>
      </c>
      <c r="O105" s="127">
        <v>33.333332061767578</v>
      </c>
      <c r="P105" s="127">
        <v>27.8538818359375</v>
      </c>
      <c r="R105" s="33" cm="1">
        <f t="array" ref="R105">INDEX(trust_data_quality!$A$2:$P$127,(ROW()-ROW(trust_data_quality!$A$1:$P$1)),MATCH(selected_dq_name,trust_data_quality!$A$1:$P$1,0))</f>
        <v>83.5616455078125</v>
      </c>
      <c r="S105" s="33">
        <f>RANK(R105,R:R,1)+COUNTIF($R$2:R105,R105)-1</f>
        <v>18</v>
      </c>
      <c r="T105">
        <f t="shared" si="3"/>
        <v>0.9</v>
      </c>
    </row>
    <row r="106" spans="1:20" x14ac:dyDescent="0.25">
      <c r="A106" s="10" t="s">
        <v>292</v>
      </c>
      <c r="B106" s="10" t="s">
        <v>291</v>
      </c>
      <c r="C106" s="10" t="s">
        <v>21</v>
      </c>
      <c r="D106" s="10" t="s">
        <v>19</v>
      </c>
      <c r="E106" s="127">
        <v>405</v>
      </c>
      <c r="F106" s="127">
        <v>207</v>
      </c>
      <c r="G106" s="127">
        <v>91.111114501953125</v>
      </c>
      <c r="H106" s="127">
        <v>78.2716064453125</v>
      </c>
      <c r="I106" s="127">
        <v>56.049381256103516</v>
      </c>
      <c r="J106" s="127">
        <v>98.550727844238281</v>
      </c>
      <c r="K106" s="127">
        <v>98.2716064453125</v>
      </c>
      <c r="L106" s="127">
        <v>95.308639526367188</v>
      </c>
      <c r="M106" s="127">
        <v>100</v>
      </c>
      <c r="N106" s="127">
        <v>96.790122985839844</v>
      </c>
      <c r="O106" s="127">
        <v>43.209877014160156</v>
      </c>
      <c r="P106" s="127">
        <v>9.8765430450439453</v>
      </c>
      <c r="Q106" s="10"/>
      <c r="R106" s="33" cm="1">
        <f t="array" ref="R106">INDEX(trust_data_quality!$A$2:$P$127,(ROW()-ROW(trust_data_quality!$A$1:$P$1)),MATCH(selected_dq_name,trust_data_quality!$A$1:$P$1,0))</f>
        <v>95.308639526367188</v>
      </c>
      <c r="S106" s="33">
        <f>RANK(R106,R:R,1)+COUNTIF($R$2:R106,R106)-1</f>
        <v>68</v>
      </c>
      <c r="T106" s="10">
        <f t="shared" si="3"/>
        <v>0.9</v>
      </c>
    </row>
    <row r="107" spans="1:20" x14ac:dyDescent="0.25">
      <c r="A107" t="s">
        <v>260</v>
      </c>
      <c r="B107" t="s">
        <v>259</v>
      </c>
      <c r="C107" t="s">
        <v>42</v>
      </c>
      <c r="D107" t="s">
        <v>40</v>
      </c>
      <c r="E107" s="127">
        <v>195</v>
      </c>
      <c r="F107" s="127">
        <v>41</v>
      </c>
      <c r="G107" s="127">
        <v>55.384616851806641</v>
      </c>
      <c r="H107" s="127">
        <v>23.589742660522461</v>
      </c>
      <c r="I107" s="127">
        <v>68.717948913574219</v>
      </c>
      <c r="J107" s="127">
        <v>100</v>
      </c>
      <c r="K107" s="127">
        <v>96.923080444335938</v>
      </c>
      <c r="L107" s="127">
        <v>21.538461685180664</v>
      </c>
      <c r="M107" s="127">
        <v>100</v>
      </c>
      <c r="N107" s="127">
        <v>96.410255432128906</v>
      </c>
      <c r="O107" s="127">
        <v>11.79487133026123</v>
      </c>
      <c r="P107" s="127">
        <v>8.7179489135742188</v>
      </c>
      <c r="R107" s="33" cm="1">
        <f t="array" ref="R107">INDEX(trust_data_quality!$A$2:$P$127,(ROW()-ROW(trust_data_quality!$A$1:$P$1)),MATCH(selected_dq_name,trust_data_quality!$A$1:$P$1,0))</f>
        <v>21.538461685180664</v>
      </c>
      <c r="S107" s="33">
        <f>RANK(R107,R:R,1)+COUNTIF($R$2:R107,R107)-1</f>
        <v>2</v>
      </c>
      <c r="T107">
        <f t="shared" si="3"/>
        <v>0.9</v>
      </c>
    </row>
    <row r="108" spans="1:20" x14ac:dyDescent="0.25">
      <c r="A108" s="10" t="s">
        <v>174</v>
      </c>
      <c r="B108" s="10" t="s">
        <v>173</v>
      </c>
      <c r="C108" s="10" t="s">
        <v>69</v>
      </c>
      <c r="D108" s="10" t="s">
        <v>67</v>
      </c>
      <c r="E108" s="127">
        <v>457</v>
      </c>
      <c r="F108" s="127">
        <v>177</v>
      </c>
      <c r="G108" s="127">
        <v>96.717727661132813</v>
      </c>
      <c r="H108" s="127">
        <v>97.811813354492188</v>
      </c>
      <c r="I108" s="127">
        <v>44.857769012451172</v>
      </c>
      <c r="J108" s="127">
        <v>96.045196533203125</v>
      </c>
      <c r="K108" s="127">
        <v>94.310722351074219</v>
      </c>
      <c r="L108" s="127">
        <v>95.623634338378906</v>
      </c>
      <c r="M108" s="127">
        <v>100</v>
      </c>
      <c r="N108" s="127">
        <v>96.061271667480469</v>
      </c>
      <c r="O108" s="127">
        <v>71.334793090820313</v>
      </c>
      <c r="P108" s="127">
        <v>74.398246765136719</v>
      </c>
      <c r="Q108" s="10"/>
      <c r="R108" s="33" cm="1">
        <f t="array" ref="R108">INDEX(trust_data_quality!$A$2:$P$127,(ROW()-ROW(trust_data_quality!$A$1:$P$1)),MATCH(selected_dq_name,trust_data_quality!$A$1:$P$1,0))</f>
        <v>95.623634338378906</v>
      </c>
      <c r="S108" s="33">
        <f>RANK(R108,R:R,1)+COUNTIF($R$2:R108,R108)-1</f>
        <v>75</v>
      </c>
      <c r="T108" s="10">
        <f t="shared" si="3"/>
        <v>0.9</v>
      </c>
    </row>
    <row r="109" spans="1:20" x14ac:dyDescent="0.25">
      <c r="A109" t="s">
        <v>258</v>
      </c>
      <c r="B109" t="s">
        <v>257</v>
      </c>
      <c r="C109" t="s">
        <v>74</v>
      </c>
      <c r="D109" t="s">
        <v>72</v>
      </c>
      <c r="E109" s="127">
        <v>786</v>
      </c>
      <c r="F109" s="127">
        <v>423</v>
      </c>
      <c r="G109" s="127">
        <v>87.022903442382813</v>
      </c>
      <c r="H109" s="127">
        <v>71.501274108886719</v>
      </c>
      <c r="I109" s="127">
        <v>54.071247100830078</v>
      </c>
      <c r="J109" s="127">
        <v>98.108749389648438</v>
      </c>
      <c r="K109" s="127">
        <v>98.727737426757813</v>
      </c>
      <c r="L109" s="127">
        <v>94.274810791015625</v>
      </c>
      <c r="M109" s="127">
        <v>100</v>
      </c>
      <c r="N109" s="127">
        <v>97.07379150390625</v>
      </c>
      <c r="O109" s="127">
        <v>33.969467163085938</v>
      </c>
      <c r="P109" s="127">
        <v>3.8167939186096191</v>
      </c>
      <c r="R109" s="33" cm="1">
        <f t="array" ref="R109">INDEX(trust_data_quality!$A$2:$P$127,(ROW()-ROW(trust_data_quality!$A$1:$P$1)),MATCH(selected_dq_name,trust_data_quality!$A$1:$P$1,0))</f>
        <v>94.274810791015625</v>
      </c>
      <c r="S109" s="33">
        <f>RANK(R109,R:R,1)+COUNTIF($R$2:R109,R109)-1</f>
        <v>58</v>
      </c>
      <c r="T109">
        <f t="shared" si="3"/>
        <v>0.9</v>
      </c>
    </row>
    <row r="110" spans="1:20" x14ac:dyDescent="0.25">
      <c r="A110" s="10" t="s">
        <v>97</v>
      </c>
      <c r="B110" s="10" t="s">
        <v>96</v>
      </c>
      <c r="C110" s="10" t="s">
        <v>54</v>
      </c>
      <c r="D110" s="10" t="s">
        <v>52</v>
      </c>
      <c r="E110" s="127">
        <v>337</v>
      </c>
      <c r="F110" s="127">
        <v>139</v>
      </c>
      <c r="G110" s="127">
        <v>74.777450561523438</v>
      </c>
      <c r="H110" s="127">
        <v>88.130561828613281</v>
      </c>
      <c r="I110" s="127">
        <v>63.204746246337891</v>
      </c>
      <c r="J110" s="127">
        <v>97.841728210449219</v>
      </c>
      <c r="K110" s="127">
        <v>99.109794616699219</v>
      </c>
      <c r="L110" s="127">
        <v>89.910980224609375</v>
      </c>
      <c r="M110" s="127">
        <v>100</v>
      </c>
      <c r="N110" s="127">
        <v>96.142433166503906</v>
      </c>
      <c r="O110" s="127">
        <v>46.587535858154297</v>
      </c>
      <c r="P110" s="127">
        <v>21.068248748779297</v>
      </c>
      <c r="Q110" s="10"/>
      <c r="R110" s="33" cm="1">
        <f t="array" ref="R110">INDEX(trust_data_quality!$A$2:$P$127,(ROW()-ROW(trust_data_quality!$A$1:$P$1)),MATCH(selected_dq_name,trust_data_quality!$A$1:$P$1,0))</f>
        <v>89.910980224609375</v>
      </c>
      <c r="S110" s="33">
        <f>RANK(R110,R:R,1)+COUNTIF($R$2:R110,R110)-1</f>
        <v>30</v>
      </c>
      <c r="T110" s="10">
        <f t="shared" si="3"/>
        <v>0.9</v>
      </c>
    </row>
    <row r="111" spans="1:20" x14ac:dyDescent="0.25">
      <c r="A111" t="s">
        <v>206</v>
      </c>
      <c r="B111" t="s">
        <v>205</v>
      </c>
      <c r="C111" t="s">
        <v>74</v>
      </c>
      <c r="D111" t="s">
        <v>72</v>
      </c>
      <c r="E111" s="127">
        <v>358</v>
      </c>
      <c r="F111" s="127">
        <v>249</v>
      </c>
      <c r="G111" s="127">
        <v>96.36871337890625</v>
      </c>
      <c r="H111" s="127">
        <v>94.692733764648438</v>
      </c>
      <c r="I111" s="127">
        <v>71.229049682617188</v>
      </c>
      <c r="J111" s="127">
        <v>100</v>
      </c>
      <c r="K111" s="127">
        <v>100</v>
      </c>
      <c r="L111" s="127">
        <v>97.486030578613281</v>
      </c>
      <c r="M111" s="127">
        <v>100</v>
      </c>
      <c r="N111" s="127">
        <v>98.603355407714844</v>
      </c>
      <c r="O111" s="127">
        <v>69.832405090332031</v>
      </c>
      <c r="P111" s="127">
        <v>90.782119750976563</v>
      </c>
      <c r="R111" s="33" cm="1">
        <f t="array" ref="R111">INDEX(trust_data_quality!$A$2:$P$127,(ROW()-ROW(trust_data_quality!$A$1:$P$1)),MATCH(selected_dq_name,trust_data_quality!$A$1:$P$1,0))</f>
        <v>97.486030578613281</v>
      </c>
      <c r="S111" s="33">
        <f>RANK(R111,R:R,1)+COUNTIF($R$2:R111,R111)-1</f>
        <v>102</v>
      </c>
      <c r="T111">
        <f t="shared" si="3"/>
        <v>0.9</v>
      </c>
    </row>
    <row r="112" spans="1:20" x14ac:dyDescent="0.25">
      <c r="A112" s="10" t="s">
        <v>85</v>
      </c>
      <c r="B112" s="10" t="s">
        <v>84</v>
      </c>
      <c r="C112" s="10" t="s">
        <v>69</v>
      </c>
      <c r="D112" s="10" t="s">
        <v>67</v>
      </c>
      <c r="E112" s="127">
        <v>336</v>
      </c>
      <c r="F112" s="127">
        <v>178</v>
      </c>
      <c r="G112" s="127">
        <v>89.285713195800781</v>
      </c>
      <c r="H112" s="127">
        <v>68.154762268066406</v>
      </c>
      <c r="I112" s="127">
        <v>55.059524536132813</v>
      </c>
      <c r="J112" s="127">
        <v>96.067413330078125</v>
      </c>
      <c r="K112" s="127">
        <v>98.214286804199219</v>
      </c>
      <c r="L112" s="127">
        <v>90.178573608398438</v>
      </c>
      <c r="M112" s="127">
        <v>100</v>
      </c>
      <c r="N112" s="127">
        <v>92.857139587402344</v>
      </c>
      <c r="O112" s="127">
        <v>49.404762268066406</v>
      </c>
      <c r="P112" s="127">
        <v>56.547618865966797</v>
      </c>
      <c r="Q112" s="10"/>
      <c r="R112" s="33" cm="1">
        <f t="array" ref="R112">INDEX(trust_data_quality!$A$2:$P$127,(ROW()-ROW(trust_data_quality!$A$1:$P$1)),MATCH(selected_dq_name,trust_data_quality!$A$1:$P$1,0))</f>
        <v>90.178573608398438</v>
      </c>
      <c r="S112" s="33">
        <f>RANK(R112,R:R,1)+COUNTIF($R$2:R112,R112)-1</f>
        <v>31</v>
      </c>
      <c r="T112" s="10">
        <f t="shared" si="3"/>
        <v>0.9</v>
      </c>
    </row>
    <row r="113" spans="1:20" x14ac:dyDescent="0.25">
      <c r="A113" t="s">
        <v>268</v>
      </c>
      <c r="B113" t="s">
        <v>267</v>
      </c>
      <c r="C113" t="s">
        <v>21</v>
      </c>
      <c r="D113" t="s">
        <v>19</v>
      </c>
      <c r="E113" s="127">
        <v>383</v>
      </c>
      <c r="F113" s="127">
        <v>230</v>
      </c>
      <c r="G113" s="127">
        <v>96.866844177246094</v>
      </c>
      <c r="H113" s="127">
        <v>96.083549499511719</v>
      </c>
      <c r="I113" s="127">
        <v>58.485641479492188</v>
      </c>
      <c r="J113" s="127">
        <v>97.391304016113281</v>
      </c>
      <c r="K113" s="127">
        <v>96.866844177246094</v>
      </c>
      <c r="L113" s="127">
        <v>97.389030456542969</v>
      </c>
      <c r="M113" s="127">
        <v>100</v>
      </c>
      <c r="N113" s="127">
        <v>95.300262451171875</v>
      </c>
      <c r="O113" s="127">
        <v>66.840728759765625</v>
      </c>
      <c r="P113" s="127">
        <v>91.383811950683594</v>
      </c>
      <c r="R113" s="33" cm="1">
        <f t="array" ref="R113">INDEX(trust_data_quality!$A$2:$P$127,(ROW()-ROW(trust_data_quality!$A$1:$P$1)),MATCH(selected_dq_name,trust_data_quality!$A$1:$P$1,0))</f>
        <v>97.389030456542969</v>
      </c>
      <c r="S113" s="33">
        <f>RANK(R113,R:R,1)+COUNTIF($R$2:R113,R113)-1</f>
        <v>97</v>
      </c>
      <c r="T113">
        <f t="shared" si="3"/>
        <v>0.9</v>
      </c>
    </row>
    <row r="114" spans="1:20" x14ac:dyDescent="0.25">
      <c r="A114" s="10" t="s">
        <v>294</v>
      </c>
      <c r="B114" s="10" t="s">
        <v>293</v>
      </c>
      <c r="C114" s="10" t="s">
        <v>21</v>
      </c>
      <c r="D114" s="10" t="s">
        <v>19</v>
      </c>
      <c r="E114" s="127">
        <v>603</v>
      </c>
      <c r="F114" s="127">
        <v>334</v>
      </c>
      <c r="G114" s="127">
        <v>81.426200866699219</v>
      </c>
      <c r="H114" s="127">
        <v>87.396354675292969</v>
      </c>
      <c r="I114" s="127">
        <v>57.545604705810547</v>
      </c>
      <c r="J114" s="127">
        <v>97.305389404296875</v>
      </c>
      <c r="K114" s="127">
        <v>98.673301696777344</v>
      </c>
      <c r="L114" s="127">
        <v>93.366500854492188</v>
      </c>
      <c r="M114" s="127">
        <v>100</v>
      </c>
      <c r="N114" s="127">
        <v>99.336647033691406</v>
      </c>
      <c r="O114" s="127">
        <v>65.008293151855469</v>
      </c>
      <c r="P114" s="127">
        <v>37.645107269287109</v>
      </c>
      <c r="Q114" s="10"/>
      <c r="R114" s="33" cm="1">
        <f t="array" ref="R114">INDEX(trust_data_quality!$A$2:$P$127,(ROW()-ROW(trust_data_quality!$A$1:$P$1)),MATCH(selected_dq_name,trust_data_quality!$A$1:$P$1,0))</f>
        <v>93.366500854492188</v>
      </c>
      <c r="S114" s="33">
        <f>RANK(R114,R:R,1)+COUNTIF($R$2:R114,R114)-1</f>
        <v>51</v>
      </c>
      <c r="T114" s="10">
        <f t="shared" si="3"/>
        <v>0.9</v>
      </c>
    </row>
    <row r="115" spans="1:20" x14ac:dyDescent="0.25">
      <c r="A115" t="s">
        <v>278</v>
      </c>
      <c r="B115" t="s">
        <v>277</v>
      </c>
      <c r="C115" t="s">
        <v>39</v>
      </c>
      <c r="D115" t="s">
        <v>37</v>
      </c>
      <c r="E115" s="127">
        <v>242</v>
      </c>
      <c r="F115" s="127">
        <v>153</v>
      </c>
      <c r="G115" s="127">
        <v>93.388427734375</v>
      </c>
      <c r="H115" s="127">
        <v>97.933883666992188</v>
      </c>
      <c r="I115" s="127">
        <v>65.702476501464844</v>
      </c>
      <c r="J115" s="127">
        <v>98.69281005859375</v>
      </c>
      <c r="K115" s="127">
        <v>98.34710693359375</v>
      </c>
      <c r="L115" s="127">
        <v>97.933883666992188</v>
      </c>
      <c r="M115" s="127">
        <v>100</v>
      </c>
      <c r="N115" s="127">
        <v>95.867767333984375</v>
      </c>
      <c r="O115" s="127">
        <v>70.661155700683594</v>
      </c>
      <c r="P115" s="127">
        <v>53.719009399414063</v>
      </c>
      <c r="R115" s="33" cm="1">
        <f t="array" ref="R115">INDEX(trust_data_quality!$A$2:$P$127,(ROW()-ROW(trust_data_quality!$A$1:$P$1)),MATCH(selected_dq_name,trust_data_quality!$A$1:$P$1,0))</f>
        <v>97.933883666992188</v>
      </c>
      <c r="S115" s="33">
        <f>RANK(R115,R:R,1)+COUNTIF($R$2:R115,R115)-1</f>
        <v>106</v>
      </c>
      <c r="T115">
        <f t="shared" si="3"/>
        <v>0.9</v>
      </c>
    </row>
    <row r="116" spans="1:20" x14ac:dyDescent="0.25">
      <c r="A116" s="10" t="s">
        <v>192</v>
      </c>
      <c r="B116" s="10" t="s">
        <v>191</v>
      </c>
      <c r="C116" s="10" t="s">
        <v>74</v>
      </c>
      <c r="D116" s="10" t="s">
        <v>72</v>
      </c>
      <c r="E116" s="127">
        <v>508</v>
      </c>
      <c r="F116" s="127">
        <v>355</v>
      </c>
      <c r="G116" s="127">
        <v>94.881889343261719</v>
      </c>
      <c r="H116" s="127">
        <v>93.503936767578125</v>
      </c>
      <c r="I116" s="127">
        <v>70.275588989257813</v>
      </c>
      <c r="J116" s="127">
        <v>99.718307495117188</v>
      </c>
      <c r="K116" s="127">
        <v>97.440948486328125</v>
      </c>
      <c r="L116" s="127">
        <v>96.850395202636719</v>
      </c>
      <c r="M116" s="127">
        <v>100</v>
      </c>
      <c r="N116" s="127">
        <v>99.409446716308594</v>
      </c>
      <c r="O116" s="127">
        <v>73.228347778320313</v>
      </c>
      <c r="P116" s="127">
        <v>63.582675933837891</v>
      </c>
      <c r="Q116" s="10"/>
      <c r="R116" s="33" cm="1">
        <f t="array" ref="R116">INDEX(trust_data_quality!$A$2:$P$127,(ROW()-ROW(trust_data_quality!$A$1:$P$1)),MATCH(selected_dq_name,trust_data_quality!$A$1:$P$1,0))</f>
        <v>96.850395202636719</v>
      </c>
      <c r="S116" s="33">
        <f>RANK(R116,R:R,1)+COUNTIF($R$2:R116,R116)-1</f>
        <v>89</v>
      </c>
      <c r="T116" s="10">
        <f t="shared" si="3"/>
        <v>0.9</v>
      </c>
    </row>
    <row r="117" spans="1:20" x14ac:dyDescent="0.25">
      <c r="A117" s="3" t="s">
        <v>631</v>
      </c>
      <c r="B117" s="3" t="s">
        <v>331</v>
      </c>
      <c r="C117" s="3" t="s">
        <v>63</v>
      </c>
      <c r="D117" s="3" t="s">
        <v>61</v>
      </c>
      <c r="E117" s="127">
        <v>582</v>
      </c>
      <c r="F117" s="127">
        <v>154</v>
      </c>
      <c r="G117" s="127">
        <v>88.6597900390625</v>
      </c>
      <c r="H117" s="127">
        <v>92.439865112304688</v>
      </c>
      <c r="I117" s="127">
        <v>53.436424255371094</v>
      </c>
      <c r="J117" s="127">
        <v>92.857139587402344</v>
      </c>
      <c r="K117" s="127">
        <v>94.845359802246094</v>
      </c>
      <c r="L117" s="127">
        <v>59.450172424316406</v>
      </c>
      <c r="M117" s="127">
        <v>100</v>
      </c>
      <c r="N117" s="127">
        <v>94.673538208007813</v>
      </c>
      <c r="O117" s="127">
        <v>36.597938537597656</v>
      </c>
      <c r="P117" s="127">
        <v>65.6357421875</v>
      </c>
      <c r="Q117" s="3"/>
      <c r="R117" s="33" cm="1">
        <f t="array" ref="R117">INDEX(trust_data_quality!$A$2:$P$127,(ROW()-ROW(trust_data_quality!$A$1:$P$1)),MATCH(selected_dq_name,trust_data_quality!$A$1:$P$1,0))</f>
        <v>59.450172424316406</v>
      </c>
      <c r="S117" s="33">
        <f>RANK(R117,R:R,1)+COUNTIF($R$2:R117,R117)-1</f>
        <v>5</v>
      </c>
      <c r="T117" s="3">
        <f t="shared" si="3"/>
        <v>0.9</v>
      </c>
    </row>
    <row r="118" spans="1:20" x14ac:dyDescent="0.25">
      <c r="A118" t="s">
        <v>116</v>
      </c>
      <c r="B118" t="s">
        <v>115</v>
      </c>
      <c r="C118" t="s">
        <v>74</v>
      </c>
      <c r="D118" t="s">
        <v>72</v>
      </c>
      <c r="E118" s="127">
        <v>140</v>
      </c>
      <c r="F118" s="127">
        <v>70</v>
      </c>
      <c r="G118" s="127">
        <v>89.285713195800781</v>
      </c>
      <c r="H118" s="127">
        <v>78.571426391601563</v>
      </c>
      <c r="I118" s="127">
        <v>51.428569793701172</v>
      </c>
      <c r="J118" s="127">
        <v>92.857139587402344</v>
      </c>
      <c r="K118" s="127">
        <v>97.857139587402344</v>
      </c>
      <c r="L118" s="127">
        <v>77.857139587402344</v>
      </c>
      <c r="M118" s="127">
        <v>100</v>
      </c>
      <c r="N118" s="127">
        <v>98.571426391601563</v>
      </c>
      <c r="O118" s="127">
        <v>42.142856597900391</v>
      </c>
      <c r="P118" s="127">
        <v>55</v>
      </c>
      <c r="R118" s="33" cm="1">
        <f t="array" ref="R118">INDEX(trust_data_quality!$A$2:$P$127,(ROW()-ROW(trust_data_quality!$A$1:$P$1)),MATCH(selected_dq_name,trust_data_quality!$A$1:$P$1,0))</f>
        <v>77.857139587402344</v>
      </c>
      <c r="S118" s="33">
        <f>RANK(R118,R:R,1)+COUNTIF($R$2:R118,R118)-1</f>
        <v>12</v>
      </c>
      <c r="T118">
        <f t="shared" si="3"/>
        <v>0.9</v>
      </c>
    </row>
    <row r="119" spans="1:20" x14ac:dyDescent="0.25">
      <c r="A119" s="10" t="s">
        <v>306</v>
      </c>
      <c r="B119" s="10" t="s">
        <v>305</v>
      </c>
      <c r="C119" s="10" t="s">
        <v>18</v>
      </c>
      <c r="D119" s="10" t="s">
        <v>16</v>
      </c>
      <c r="E119" s="127">
        <v>222</v>
      </c>
      <c r="F119" s="127">
        <v>157</v>
      </c>
      <c r="G119" s="127">
        <v>95.495498657226563</v>
      </c>
      <c r="H119" s="127">
        <v>97.297294616699219</v>
      </c>
      <c r="I119" s="127">
        <v>74.324325561523438</v>
      </c>
      <c r="J119" s="127">
        <v>100</v>
      </c>
      <c r="K119" s="127">
        <v>99.099098205566406</v>
      </c>
      <c r="L119" s="127">
        <v>98.648651123046875</v>
      </c>
      <c r="M119" s="127">
        <v>100</v>
      </c>
      <c r="N119" s="127">
        <v>99.549552917480469</v>
      </c>
      <c r="O119" s="127">
        <v>70.720718383789063</v>
      </c>
      <c r="P119" s="127">
        <v>88.738739013671875</v>
      </c>
      <c r="Q119" s="10"/>
      <c r="R119" s="33" cm="1">
        <f t="array" ref="R119">INDEX(trust_data_quality!$A$2:$P$127,(ROW()-ROW(trust_data_quality!$A$1:$P$1)),MATCH(selected_dq_name,trust_data_quality!$A$1:$P$1,0))</f>
        <v>98.648651123046875</v>
      </c>
      <c r="S119" s="33">
        <f>RANK(R119,R:R,1)+COUNTIF($R$2:R119,R119)-1</f>
        <v>117</v>
      </c>
      <c r="T119" s="10">
        <f t="shared" si="3"/>
        <v>0.9</v>
      </c>
    </row>
    <row r="120" spans="1:20" x14ac:dyDescent="0.25">
      <c r="A120" t="s">
        <v>298</v>
      </c>
      <c r="B120" t="s">
        <v>297</v>
      </c>
      <c r="C120" t="s">
        <v>27</v>
      </c>
      <c r="D120" t="s">
        <v>25</v>
      </c>
      <c r="E120" s="127">
        <v>172</v>
      </c>
      <c r="F120" s="127">
        <v>126</v>
      </c>
      <c r="G120" s="127">
        <v>95.930229187011719</v>
      </c>
      <c r="H120" s="127">
        <v>96.511627197265625</v>
      </c>
      <c r="I120" s="127">
        <v>71.511627197265625</v>
      </c>
      <c r="J120" s="127">
        <v>96.031745910644531</v>
      </c>
      <c r="K120" s="127">
        <v>98.837211608886719</v>
      </c>
      <c r="L120" s="127">
        <v>98.837211608886719</v>
      </c>
      <c r="M120" s="127">
        <v>100</v>
      </c>
      <c r="N120" s="127">
        <v>99.418601989746094</v>
      </c>
      <c r="O120" s="127">
        <v>63.372093200683594</v>
      </c>
      <c r="P120" s="127">
        <v>95.930229187011719</v>
      </c>
      <c r="R120" s="33" cm="1">
        <f t="array" ref="R120">INDEX(trust_data_quality!$A$2:$P$127,(ROW()-ROW(trust_data_quality!$A$1:$P$1)),MATCH(selected_dq_name,trust_data_quality!$A$1:$P$1,0))</f>
        <v>98.837211608886719</v>
      </c>
      <c r="S120" s="33">
        <f>RANK(R120,R:R,1)+COUNTIF($R$2:R120,R120)-1</f>
        <v>120</v>
      </c>
      <c r="T120">
        <f t="shared" si="3"/>
        <v>0.9</v>
      </c>
    </row>
    <row r="121" spans="1:20" s="3" customFormat="1" x14ac:dyDescent="0.25">
      <c r="A121" s="10" t="s">
        <v>166</v>
      </c>
      <c r="B121" s="10" t="s">
        <v>165</v>
      </c>
      <c r="C121" s="10" t="s">
        <v>24</v>
      </c>
      <c r="D121" s="10" t="s">
        <v>22</v>
      </c>
      <c r="E121" s="127">
        <v>108</v>
      </c>
      <c r="F121" s="127">
        <v>29</v>
      </c>
      <c r="G121" s="127">
        <v>83.333335876464844</v>
      </c>
      <c r="H121" s="127">
        <v>83.333335876464844</v>
      </c>
      <c r="I121" s="127">
        <v>76.851852416992188</v>
      </c>
      <c r="J121" s="127">
        <v>93.103446960449219</v>
      </c>
      <c r="K121" s="127">
        <v>100</v>
      </c>
      <c r="L121" s="127">
        <v>87.037040710449219</v>
      </c>
      <c r="M121" s="127">
        <v>100</v>
      </c>
      <c r="N121" s="127">
        <v>98.148147583007813</v>
      </c>
      <c r="O121" s="127">
        <v>49.074073791503906</v>
      </c>
      <c r="P121" s="127">
        <v>55.555557250976563</v>
      </c>
      <c r="Q121" s="10"/>
      <c r="R121" s="33" cm="1">
        <f t="array" ref="R121">INDEX(trust_data_quality!$A$2:$P$127,(ROW()-ROW(trust_data_quality!$A$1:$P$1)),MATCH(selected_dq_name,trust_data_quality!$A$1:$P$1,0))</f>
        <v>87.037040710449219</v>
      </c>
      <c r="S121" s="33">
        <f>RANK(R121,R:R,1)+COUNTIF($R$2:R121,R121)-1</f>
        <v>21</v>
      </c>
      <c r="T121" s="10">
        <f t="shared" si="3"/>
        <v>0.9</v>
      </c>
    </row>
    <row r="122" spans="1:20" x14ac:dyDescent="0.25">
      <c r="A122" s="10" t="s">
        <v>118</v>
      </c>
      <c r="B122" s="10" t="s">
        <v>117</v>
      </c>
      <c r="C122" s="10" t="s">
        <v>18</v>
      </c>
      <c r="D122" s="10" t="s">
        <v>16</v>
      </c>
      <c r="E122" s="127">
        <v>280</v>
      </c>
      <c r="F122" s="127">
        <v>143</v>
      </c>
      <c r="G122" s="127">
        <v>97.857139587402344</v>
      </c>
      <c r="H122" s="127">
        <v>98.928573608398438</v>
      </c>
      <c r="I122" s="127">
        <v>62.5</v>
      </c>
      <c r="J122" s="127">
        <v>100</v>
      </c>
      <c r="K122" s="127">
        <v>99.642860412597656</v>
      </c>
      <c r="L122" s="127">
        <v>99.285713195800781</v>
      </c>
      <c r="M122" s="127">
        <v>100</v>
      </c>
      <c r="N122" s="127">
        <v>98.571426391601563</v>
      </c>
      <c r="O122" s="127">
        <v>76.785713195800781</v>
      </c>
      <c r="P122" s="127">
        <v>92.142860412597656</v>
      </c>
      <c r="Q122" s="10"/>
      <c r="R122" s="33" cm="1">
        <f t="array" ref="R122">INDEX(trust_data_quality!$A$2:$P$127,(ROW()-ROW(trust_data_quality!$A$1:$P$1)),MATCH(selected_dq_name,trust_data_quality!$A$1:$P$1,0))</f>
        <v>99.285713195800781</v>
      </c>
      <c r="S122" s="33">
        <f>RANK(R122,R:R,1)+COUNTIF($R$2:R122,R122)-1</f>
        <v>125</v>
      </c>
      <c r="T122" s="10">
        <f t="shared" si="3"/>
        <v>0.9</v>
      </c>
    </row>
    <row r="123" spans="1:20" x14ac:dyDescent="0.25">
      <c r="A123" t="s">
        <v>304</v>
      </c>
      <c r="B123" t="s">
        <v>303</v>
      </c>
      <c r="C123" t="s">
        <v>74</v>
      </c>
      <c r="D123" t="s">
        <v>72</v>
      </c>
      <c r="E123" s="127">
        <v>275</v>
      </c>
      <c r="F123" s="127">
        <v>159</v>
      </c>
      <c r="G123" s="127">
        <v>92</v>
      </c>
      <c r="H123" s="127">
        <v>89.090911865234375</v>
      </c>
      <c r="I123" s="127">
        <v>58.545455932617188</v>
      </c>
      <c r="J123" s="127">
        <v>95.597480773925781</v>
      </c>
      <c r="K123" s="127">
        <v>100</v>
      </c>
      <c r="L123" s="127">
        <v>92.727272033691406</v>
      </c>
      <c r="M123" s="127">
        <v>100</v>
      </c>
      <c r="N123" s="127">
        <v>97.818183898925781</v>
      </c>
      <c r="O123" s="127">
        <v>65.818183898925781</v>
      </c>
      <c r="P123" s="127">
        <v>46.545455932617188</v>
      </c>
      <c r="R123" s="33" cm="1">
        <f t="array" ref="R123">INDEX(trust_data_quality!$A$2:$P$127,(ROW()-ROW(trust_data_quality!$A$1:$P$1)),MATCH(selected_dq_name,trust_data_quality!$A$1:$P$1,0))</f>
        <v>92.727272033691406</v>
      </c>
      <c r="S123" s="33">
        <f>RANK(R123,R:R,1)+COUNTIF($R$2:R123,R123)-1</f>
        <v>43</v>
      </c>
      <c r="T123">
        <f t="shared" si="3"/>
        <v>0.9</v>
      </c>
    </row>
    <row r="124" spans="1:20" x14ac:dyDescent="0.25">
      <c r="A124" s="10" t="s">
        <v>256</v>
      </c>
      <c r="B124" s="10" t="s">
        <v>255</v>
      </c>
      <c r="C124" s="10" t="s">
        <v>30</v>
      </c>
      <c r="D124" s="10" t="s">
        <v>28</v>
      </c>
      <c r="E124" s="127">
        <v>238</v>
      </c>
      <c r="F124" s="127">
        <v>157</v>
      </c>
      <c r="G124" s="127">
        <v>96.638656616210938</v>
      </c>
      <c r="H124" s="127">
        <v>92.857139587402344</v>
      </c>
      <c r="I124" s="127">
        <v>64.285713195800781</v>
      </c>
      <c r="J124" s="127">
        <v>96.1783447265625</v>
      </c>
      <c r="K124" s="127">
        <v>99.579833984375</v>
      </c>
      <c r="L124" s="127">
        <v>99.159660339355469</v>
      </c>
      <c r="M124" s="127">
        <v>100</v>
      </c>
      <c r="N124" s="127">
        <v>100</v>
      </c>
      <c r="O124" s="127">
        <v>62.60504150390625</v>
      </c>
      <c r="P124" s="127">
        <v>87.81512451171875</v>
      </c>
      <c r="Q124" s="10"/>
      <c r="R124" s="33" cm="1">
        <f t="array" ref="R124">INDEX(trust_data_quality!$A$2:$P$127,(ROW()-ROW(trust_data_quality!$A$1:$P$1)),MATCH(selected_dq_name,trust_data_quality!$A$1:$P$1,0))</f>
        <v>99.159660339355469</v>
      </c>
      <c r="S124" s="33">
        <f>RANK(R124,R:R,1)+COUNTIF($R$2:R124,R124)-1</f>
        <v>124</v>
      </c>
      <c r="T124" s="10">
        <f t="shared" si="3"/>
        <v>0.9</v>
      </c>
    </row>
    <row r="125" spans="1:20" x14ac:dyDescent="0.25">
      <c r="A125" t="s">
        <v>212</v>
      </c>
      <c r="B125" t="s">
        <v>211</v>
      </c>
      <c r="C125" t="s">
        <v>74</v>
      </c>
      <c r="D125" t="s">
        <v>72</v>
      </c>
      <c r="E125" s="127">
        <v>119</v>
      </c>
      <c r="F125" s="127">
        <v>72</v>
      </c>
      <c r="G125" s="127">
        <v>93.277313232421875</v>
      </c>
      <c r="H125" s="127">
        <v>94.957984924316406</v>
      </c>
      <c r="I125" s="127">
        <v>62.18487548828125</v>
      </c>
      <c r="J125" s="127">
        <v>100</v>
      </c>
      <c r="K125" s="127">
        <v>98.319328308105469</v>
      </c>
      <c r="L125" s="127">
        <v>94.117645263671875</v>
      </c>
      <c r="M125" s="127">
        <v>100</v>
      </c>
      <c r="N125" s="127">
        <v>95.798316955566406</v>
      </c>
      <c r="O125" s="127">
        <v>68.067230224609375</v>
      </c>
      <c r="P125" s="127">
        <v>84.873947143554688</v>
      </c>
      <c r="R125" s="33" cm="1">
        <f t="array" ref="R125">INDEX(trust_data_quality!$A$2:$P$127,(ROW()-ROW(trust_data_quality!$A$1:$P$1)),MATCH(selected_dq_name,trust_data_quality!$A$1:$P$1,0))</f>
        <v>94.117645263671875</v>
      </c>
      <c r="S125" s="33">
        <f>RANK(R125,R:R,1)+COUNTIF($R$2:R125,R125)-1</f>
        <v>57</v>
      </c>
      <c r="T125">
        <f t="shared" si="3"/>
        <v>0.9</v>
      </c>
    </row>
    <row r="126" spans="1:20" x14ac:dyDescent="0.25">
      <c r="A126" s="10" t="s">
        <v>95</v>
      </c>
      <c r="B126" s="10" t="s">
        <v>94</v>
      </c>
      <c r="C126" s="10" t="s">
        <v>54</v>
      </c>
      <c r="D126" s="10" t="s">
        <v>52</v>
      </c>
      <c r="E126" s="127">
        <v>94</v>
      </c>
      <c r="F126" s="127">
        <v>46</v>
      </c>
      <c r="G126" s="127">
        <v>97.872337341308594</v>
      </c>
      <c r="H126" s="127">
        <v>90.425529479980469</v>
      </c>
      <c r="I126" s="127">
        <v>61.702129364013672</v>
      </c>
      <c r="J126" s="127">
        <v>100</v>
      </c>
      <c r="K126" s="127">
        <v>93.617019653320313</v>
      </c>
      <c r="L126" s="127">
        <v>92.553192138671875</v>
      </c>
      <c r="M126" s="127">
        <v>100</v>
      </c>
      <c r="N126" s="127">
        <v>88.297874450683594</v>
      </c>
      <c r="O126" s="127">
        <v>59.574466705322266</v>
      </c>
      <c r="P126" s="127">
        <v>44.680850982666016</v>
      </c>
      <c r="Q126" s="10"/>
      <c r="R126" s="33" cm="1">
        <f t="array" ref="R126">INDEX(trust_data_quality!$A$2:$P$127,(ROW()-ROW(trust_data_quality!$A$1:$P$1)),MATCH(selected_dq_name,trust_data_quality!$A$1:$P$1,0))</f>
        <v>92.553192138671875</v>
      </c>
      <c r="S126" s="33">
        <f>RANK(R126,R:R,1)+COUNTIF($R$2:R126,R126)-1</f>
        <v>42</v>
      </c>
      <c r="T126" s="10">
        <f t="shared" si="3"/>
        <v>0.9</v>
      </c>
    </row>
    <row r="127" spans="1:20" x14ac:dyDescent="0.25">
      <c r="A127" s="30" t="s">
        <v>130</v>
      </c>
      <c r="B127" s="30" t="s">
        <v>129</v>
      </c>
      <c r="C127" s="30" t="s">
        <v>33</v>
      </c>
      <c r="D127" s="30" t="s">
        <v>31</v>
      </c>
      <c r="E127" s="127">
        <v>350</v>
      </c>
      <c r="F127" s="127">
        <v>143</v>
      </c>
      <c r="G127" s="127">
        <v>93.428573608398438</v>
      </c>
      <c r="H127" s="127">
        <v>76.571426391601563</v>
      </c>
      <c r="I127" s="127">
        <v>50.285713195800781</v>
      </c>
      <c r="J127" s="127">
        <v>96.503494262695313</v>
      </c>
      <c r="K127" s="127">
        <v>99.428573608398438</v>
      </c>
      <c r="L127" s="127">
        <v>98.285713195800781</v>
      </c>
      <c r="M127" s="127">
        <v>100</v>
      </c>
      <c r="N127" s="127">
        <v>93.428573608398438</v>
      </c>
      <c r="O127" s="127">
        <v>46.571430206298828</v>
      </c>
      <c r="P127" s="127">
        <v>19.428571701049805</v>
      </c>
      <c r="Q127" s="30"/>
      <c r="R127" s="33" cm="1">
        <f t="array" ref="R127">INDEX(trust_data_quality!$A$2:$P$127,(ROW()-ROW(trust_data_quality!$A$1:$P$1)),MATCH(selected_dq_name,trust_data_quality!$A$1:$P$1,0))</f>
        <v>98.285713195800781</v>
      </c>
      <c r="S127" s="33">
        <f>RANK(R127,R:R,1)+COUNTIF($R$2:R127,R127)-1</f>
        <v>112</v>
      </c>
      <c r="T127" s="30">
        <f t="shared" si="3"/>
        <v>0.9</v>
      </c>
    </row>
  </sheetData>
  <autoFilter ref="A1:T127" xr:uid="{00000000-0009-0000-0000-000003000000}">
    <sortState xmlns:xlrd2="http://schemas.microsoft.com/office/spreadsheetml/2017/richdata2" ref="A2:T127">
      <sortCondition ref="A2:A127"/>
    </sortState>
  </autoFilter>
  <sortState xmlns:xlrd2="http://schemas.microsoft.com/office/spreadsheetml/2017/richdata2" ref="A2:O127">
    <sortCondition ref="A2:A127"/>
  </sortState>
  <conditionalFormatting sqref="R1:R1048576">
    <cfRule type="top10" dxfId="9" priority="5" bottom="1" rank="1"/>
    <cfRule type="top10" dxfId="8" priority="6" rank="1"/>
  </conditionalFormatting>
  <conditionalFormatting sqref="S1:S1048576">
    <cfRule type="top10" dxfId="7" priority="1" rank="1"/>
    <cfRule type="top10" dxfId="6" priority="2" bottom="1" rank="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Introduction</vt:lpstr>
      <vt:lpstr>Acknowledgements</vt:lpstr>
      <vt:lpstr>Dashboard</vt:lpstr>
      <vt:lpstr>Links</vt:lpstr>
      <vt:lpstr>indicator_list</vt:lpstr>
      <vt:lpstr>data_quality_list</vt:lpstr>
      <vt:lpstr>trust_list</vt:lpstr>
      <vt:lpstr>trusts_per_ca</vt:lpstr>
      <vt:lpstr>trust_data_quality</vt:lpstr>
      <vt:lpstr>aliance_data_quality</vt:lpstr>
      <vt:lpstr>national_data_quality</vt:lpstr>
      <vt:lpstr>trust_indicator_data</vt:lpstr>
      <vt:lpstr>aliance_indicator_data</vt:lpstr>
      <vt:lpstr>national_indicator_data</vt:lpstr>
      <vt:lpstr>trust_patient_char</vt:lpstr>
      <vt:lpstr>aliance_patient_chars</vt:lpstr>
      <vt:lpstr>national_patient_chars</vt:lpstr>
      <vt:lpstr>n_trusts_in_CA</vt:lpstr>
      <vt:lpstr>selected_dq_denom</vt:lpstr>
      <vt:lpstr>selected_dq_descr</vt:lpstr>
      <vt:lpstr>selected_dq_name</vt:lpstr>
      <vt:lpstr>selected_dq_target</vt:lpstr>
      <vt:lpstr>selected_indic_denom</vt:lpstr>
      <vt:lpstr>selected_indic_descr</vt:lpstr>
      <vt:lpstr>selected_indic_name_adj</vt:lpstr>
      <vt:lpstr>selected_indic_name_unadj</vt:lpstr>
      <vt:lpstr>selected_indic_num</vt:lpstr>
      <vt:lpstr>selected_trust</vt:lpstr>
      <vt:lpstr>selected_trust_ca_code</vt:lpstr>
      <vt:lpstr>selected_trust_ca_name</vt:lpstr>
      <vt:lpstr>selected_trust_code</vt:lpstr>
      <vt:lpstr>table_aliance_indic</vt:lpstr>
      <vt:lpstr>table_indic_index</vt:lpstr>
      <vt:lpstr>table_national_dq</vt:lpstr>
      <vt:lpstr>table_national_indic</vt:lpstr>
      <vt:lpstr>table_trust_dq</vt:lpstr>
      <vt:lpstr>table_trust_indic_data</vt:lpstr>
      <vt:lpstr>table_trusts_per_CA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Ella Barber</dc:creator>
  <cp:lastModifiedBy>Ella Barber</cp:lastModifiedBy>
  <cp:lastPrinted>2023-04-06T14:05:40Z</cp:lastPrinted>
  <dcterms:created xsi:type="dcterms:W3CDTF">2023-03-10T15:09:40Z</dcterms:created>
  <dcterms:modified xsi:type="dcterms:W3CDTF">2023-07-20T00:00:13Z</dcterms:modified>
</cp:coreProperties>
</file>